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APORAN PUBLIKASI\"/>
    </mc:Choice>
  </mc:AlternateContent>
  <xr:revisionPtr revIDLastSave="0" documentId="13_ncr:1_{A873AA5B-E90C-4220-B22B-17619974B8F0}" xr6:coauthVersionLast="47" xr6:coauthVersionMax="47" xr10:uidLastSave="{00000000-0000-0000-0000-000000000000}"/>
  <bookViews>
    <workbookView xWindow="0" yWindow="720" windowWidth="20490" windowHeight="10800" xr2:uid="{2BA7EC1F-8933-48C1-81E7-4DC96006370B}"/>
  </bookViews>
  <sheets>
    <sheet name="PUBLIKASI SEPT 2025" sheetId="1" r:id="rId1"/>
    <sheet name="neraca" sheetId="2" r:id="rId2"/>
    <sheet name="Sheet1" sheetId="3" r:id="rId3"/>
  </sheets>
  <definedNames>
    <definedName name="_xlnm.Print_Area" localSheetId="0">'PUBLIKASI SEPT 2025'!$A$1:$L$66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8" i="1" l="1"/>
  <c r="K19" i="1"/>
  <c r="H38" i="1"/>
  <c r="G38" i="1"/>
  <c r="G44" i="1"/>
  <c r="G49" i="1"/>
  <c r="G45" i="1"/>
  <c r="G36" i="1"/>
  <c r="G37" i="1"/>
  <c r="G34" i="1"/>
  <c r="G32" i="1"/>
  <c r="G33" i="1"/>
  <c r="G31" i="1"/>
  <c r="G25" i="1"/>
  <c r="G22" i="1"/>
  <c r="G21" i="1"/>
  <c r="G18" i="1"/>
  <c r="G17" i="1"/>
  <c r="G15" i="1"/>
  <c r="H45" i="1"/>
  <c r="H44" i="1"/>
  <c r="H36" i="1"/>
  <c r="H33" i="1"/>
  <c r="H31" i="1"/>
  <c r="H18" i="1"/>
  <c r="H17" i="1"/>
  <c r="H15" i="1"/>
  <c r="D48" i="1" l="1"/>
  <c r="D49" i="1"/>
  <c r="D42" i="1"/>
  <c r="D41" i="1"/>
  <c r="D40" i="1"/>
  <c r="D38" i="1"/>
  <c r="D39" i="1"/>
  <c r="D36" i="1"/>
  <c r="D27" i="1"/>
  <c r="D29" i="1"/>
  <c r="D28" i="1"/>
  <c r="D24" i="1"/>
  <c r="D22" i="1"/>
  <c r="D21" i="1"/>
  <c r="D17" i="1"/>
  <c r="D16" i="1"/>
  <c r="F24" i="2"/>
  <c r="C41" i="1"/>
  <c r="C40" i="1"/>
  <c r="C39" i="1"/>
  <c r="C38" i="1"/>
  <c r="C36" i="1"/>
  <c r="B1" i="3"/>
  <c r="C101" i="2"/>
  <c r="C31" i="2"/>
  <c r="C60" i="2"/>
  <c r="E110" i="2"/>
  <c r="C94" i="2"/>
  <c r="J71" i="2"/>
  <c r="C72" i="2"/>
  <c r="C49" i="1"/>
  <c r="J8" i="2"/>
  <c r="F5" i="2"/>
  <c r="C57" i="2"/>
  <c r="C50" i="2"/>
  <c r="C14" i="1"/>
  <c r="H19" i="1"/>
  <c r="G19" i="1"/>
  <c r="C52" i="2" l="1"/>
  <c r="C22" i="1" s="1"/>
  <c r="C27" i="1"/>
  <c r="C21" i="1"/>
  <c r="C83" i="2"/>
  <c r="C28" i="1" s="1"/>
  <c r="C47" i="1" l="1"/>
  <c r="C39" i="2"/>
  <c r="C17" i="1" s="1"/>
  <c r="C10" i="2"/>
  <c r="C107" i="2"/>
  <c r="C91" i="2"/>
  <c r="C24" i="1"/>
  <c r="C29" i="2"/>
  <c r="C21" i="2"/>
  <c r="F59" i="2"/>
  <c r="F52" i="2"/>
  <c r="F46" i="2"/>
  <c r="J34" i="2"/>
  <c r="J29" i="2"/>
  <c r="J20" i="2"/>
  <c r="J13" i="2"/>
  <c r="I99" i="1"/>
  <c r="J98" i="1"/>
  <c r="J102" i="1" s="1"/>
  <c r="H99" i="1"/>
  <c r="F103" i="1"/>
  <c r="F67" i="2" l="1"/>
  <c r="C42" i="1" s="1"/>
  <c r="C16" i="1"/>
  <c r="C109" i="2"/>
  <c r="C29" i="1" s="1"/>
  <c r="C31" i="1" s="1"/>
  <c r="J36" i="2"/>
  <c r="D91" i="1"/>
  <c r="B91" i="1"/>
  <c r="C95" i="1" s="1"/>
  <c r="C105" i="1" s="1"/>
  <c r="D66" i="1" l="1"/>
  <c r="G118" i="1" l="1"/>
  <c r="G14" i="1"/>
  <c r="G13" i="1" s="1"/>
  <c r="C50" i="1"/>
  <c r="D50" i="1"/>
  <c r="D31" i="1"/>
  <c r="H14" i="1"/>
  <c r="H13" i="1" s="1"/>
  <c r="H27" i="1" s="1"/>
  <c r="H30" i="1"/>
  <c r="G30" i="1"/>
  <c r="H42" i="1" l="1"/>
  <c r="G27" i="1"/>
  <c r="G42" i="1" s="1"/>
  <c r="G47" i="1" s="1"/>
  <c r="G51" i="1" s="1"/>
  <c r="H47" i="1" l="1"/>
  <c r="H51" i="1" s="1"/>
</calcChain>
</file>

<file path=xl/sharedStrings.xml><?xml version="1.0" encoding="utf-8"?>
<sst xmlns="http://schemas.openxmlformats.org/spreadsheetml/2006/main" count="356" uniqueCount="257">
  <si>
    <t xml:space="preserve">PT. BPR SYARI'AH TULEN AMANAH </t>
  </si>
  <si>
    <t>JL. RAYA PAOKMOTONG NO 34 DANGER MASBAGIK LOTIM NTB</t>
  </si>
  <si>
    <t>TELP   ( 0376) 631376  FAX  ( 0376 ) 621376</t>
  </si>
  <si>
    <t>NERACA</t>
  </si>
  <si>
    <t>PERHITUNGAN LABA-RUGI</t>
  </si>
  <si>
    <t>LAPORAN KOMITMEN DAN KONTINJENSI</t>
  </si>
  <si>
    <t>BANK SYARIAH TULEN AMANAH</t>
  </si>
  <si>
    <t xml:space="preserve">   (dalam ribuan rupiah )</t>
  </si>
  <si>
    <t xml:space="preserve"> ( dalam ribuan rupiah)</t>
  </si>
  <si>
    <t>( dalam ribuan rupiah)</t>
  </si>
  <si>
    <t>POS-POS</t>
  </si>
  <si>
    <t>POSISI</t>
  </si>
  <si>
    <t>AKTIVA</t>
  </si>
  <si>
    <t>PENDAPATAN OPERASIONAL</t>
  </si>
  <si>
    <t>TAGIHAN KOMITMEN</t>
  </si>
  <si>
    <t>Kas</t>
  </si>
  <si>
    <t xml:space="preserve">a. Fasilitas pembiayaan yang diterima </t>
  </si>
  <si>
    <t>Penempatan Pada Bank Indonesia</t>
  </si>
  <si>
    <t xml:space="preserve">     a. Pendapatan dari Pihak Ketiga Bukan Bank</t>
  </si>
  <si>
    <t>b. Lainnya</t>
  </si>
  <si>
    <t>Penempatan pada Bank Lain</t>
  </si>
  <si>
    <t xml:space="preserve">     b. Pendapatan dari Bank Indonesia</t>
  </si>
  <si>
    <t>Piutang Murabahah</t>
  </si>
  <si>
    <t xml:space="preserve">     c. Pendapatan dari Bank Lain</t>
  </si>
  <si>
    <t>KONTINJENSI</t>
  </si>
  <si>
    <t>Piutang Salam</t>
  </si>
  <si>
    <t>2. Pendapatan Operasional Lainnya</t>
  </si>
  <si>
    <t>a. Pendapatan Margin dalam penyelesaian</t>
  </si>
  <si>
    <t>Piutang Istishna</t>
  </si>
  <si>
    <t>BAGI HASIL BAGI PEMILIK DANA -/-</t>
  </si>
  <si>
    <t>b. Aktiva Produktif yang di Hapusbuku</t>
  </si>
  <si>
    <t>Pembiayaan Mudharabah</t>
  </si>
  <si>
    <t>1. Pihak Ketiga Bukan Bank</t>
  </si>
  <si>
    <t>Pembiayaan Musyarakah</t>
  </si>
  <si>
    <t xml:space="preserve">     a. Tabungan Mudharabah</t>
  </si>
  <si>
    <t>Ijarah</t>
  </si>
  <si>
    <t xml:space="preserve">     b. Deposito Mudharabah</t>
  </si>
  <si>
    <t>Qard</t>
  </si>
  <si>
    <t xml:space="preserve">     c. Lainnya</t>
  </si>
  <si>
    <t>CAR</t>
  </si>
  <si>
    <t>Penyisihan Ph.aktiva Produktif-/-</t>
  </si>
  <si>
    <t>2. Bank Indonesia</t>
  </si>
  <si>
    <t>FDR</t>
  </si>
  <si>
    <t>Agunan yang di ambil alih</t>
  </si>
  <si>
    <t>3. Bank- Bank Lain</t>
  </si>
  <si>
    <t>Persediaan</t>
  </si>
  <si>
    <t>Aktiva Tetap dan Inventaris</t>
  </si>
  <si>
    <t xml:space="preserve">PENDAPATAN OPERASIONAL SETELAH </t>
  </si>
  <si>
    <t>ROA</t>
  </si>
  <si>
    <t>Akumulasi ph.Aktiva Tetap -/-</t>
  </si>
  <si>
    <t>DISTRIBUSI BAGI HASIL</t>
  </si>
  <si>
    <t>Aktiva Lain-lain</t>
  </si>
  <si>
    <t>PPAP/PPAPWD</t>
  </si>
  <si>
    <t>BEBAN OPERASIONAL</t>
  </si>
  <si>
    <t>BOPO</t>
  </si>
  <si>
    <t>JUMLAH</t>
  </si>
  <si>
    <t>1. Beban PPAP</t>
  </si>
  <si>
    <t>CASH RATIO</t>
  </si>
  <si>
    <t>2. Beban Penyusutan Aset Tetap</t>
  </si>
  <si>
    <t>KEWAJIBAN DAN EKUITAS</t>
  </si>
  <si>
    <t>3. Beban Premi</t>
  </si>
  <si>
    <t>Kewajiban Segera</t>
  </si>
  <si>
    <t>Dana Investasi Tidak Terikat</t>
  </si>
  <si>
    <t>a. Tabungan Mudharabah</t>
  </si>
  <si>
    <t>PT. BPR SYARIAH TULEN AMANAH</t>
  </si>
  <si>
    <t>Kewajiban Pada Bank Lain</t>
  </si>
  <si>
    <t>Kewajiban Lain -lain</t>
  </si>
  <si>
    <t>LABA ( RUGI) OPERASIONAL</t>
  </si>
  <si>
    <t>Ekuitas</t>
  </si>
  <si>
    <t>PENDAPATAN NON OPERASIONAL</t>
  </si>
  <si>
    <t>a.  Modal Disetor</t>
  </si>
  <si>
    <t>BEBAN NON OPERASIONAL</t>
  </si>
  <si>
    <t>b. Tambahan Modal Disetor</t>
  </si>
  <si>
    <t>c.  Cadangan</t>
  </si>
  <si>
    <t>LABA ( RUGI ) SEBELUM ZAKAT DAN PAJAK</t>
  </si>
  <si>
    <t>d. Laba / Rugi Tahun Lalu</t>
  </si>
  <si>
    <t>ZAKAT</t>
  </si>
  <si>
    <t>e. Saldo Laba ( Rugi )</t>
  </si>
  <si>
    <t>TAKSIRAN PAJAK PENGHASILAN</t>
  </si>
  <si>
    <r>
      <t xml:space="preserve">                       </t>
    </r>
    <r>
      <rPr>
        <b/>
        <u/>
        <sz val="11"/>
        <color theme="1"/>
        <rFont val="Calibri"/>
        <family val="2"/>
        <scheme val="minor"/>
      </rPr>
      <t xml:space="preserve"> AHMAD, SE</t>
    </r>
  </si>
  <si>
    <t xml:space="preserve">                   Direktur Utama</t>
  </si>
  <si>
    <t>LABA ( RUGI ) TAHUN BERJALAN</t>
  </si>
  <si>
    <t>PENGURUS  BANK</t>
  </si>
  <si>
    <t>PEMILIK BANK</t>
  </si>
  <si>
    <t>%</t>
  </si>
  <si>
    <t>DEWAN   KOMISARIS</t>
  </si>
  <si>
    <t>1.Ir. H. Anis Mujahid Akbar</t>
  </si>
  <si>
    <t xml:space="preserve">                                                                  KAP</t>
  </si>
  <si>
    <t>2.Drs H. L. Ayat, MM</t>
  </si>
  <si>
    <t>3. Sri Witari Anggreni</t>
  </si>
  <si>
    <t>Nama KAP</t>
  </si>
  <si>
    <t>4. Hj. Rima Hendri BS, SE</t>
  </si>
  <si>
    <t>Auditor yang menandatangani</t>
  </si>
  <si>
    <t>DIREKSI</t>
  </si>
  <si>
    <t>5. Anas Amrullah</t>
  </si>
  <si>
    <t>Tanggal Opini</t>
  </si>
  <si>
    <t>6. Drs. H.Ayip Rosidi, SH.MM</t>
  </si>
  <si>
    <t>Opini Audit</t>
  </si>
  <si>
    <t xml:space="preserve"> - Direktur                 :   IVAN EROKA YULIADJI, S.Kom</t>
  </si>
  <si>
    <t>7. TGH .Ishak Abdul Gani, Lc</t>
  </si>
  <si>
    <t>8. Aryadi Putra Noviawan, SE</t>
  </si>
  <si>
    <t>DEWAN PENGAWAS    SYARIAH</t>
  </si>
  <si>
    <t>9. TGH.L. M.  Thahir Badri</t>
  </si>
  <si>
    <t>10. Ir. Endang Setyowati</t>
  </si>
  <si>
    <t xml:space="preserve"> - TGH. Ishak Abdul Gani, Lc</t>
  </si>
  <si>
    <t>11. Mustafa, SH</t>
  </si>
  <si>
    <t>TOTAL</t>
  </si>
  <si>
    <t>5. Beban Sewa</t>
  </si>
  <si>
    <t>6. Beban Personalia</t>
  </si>
  <si>
    <t>7. Beban Promosi</t>
  </si>
  <si>
    <t>8. Beban Umum dan Administrasi</t>
  </si>
  <si>
    <t>4. Beban Amortisasi</t>
  </si>
  <si>
    <t xml:space="preserve">NPF </t>
  </si>
  <si>
    <r>
      <t xml:space="preserve"> -</t>
    </r>
    <r>
      <rPr>
        <sz val="10"/>
        <rFont val="Times New Roman"/>
        <family val="1"/>
      </rPr>
      <t xml:space="preserve"> Komisaris Utama</t>
    </r>
    <r>
      <rPr>
        <sz val="9"/>
        <rFont val="Times New Roman"/>
        <family val="1"/>
      </rPr>
      <t xml:space="preserve">   : </t>
    </r>
    <r>
      <rPr>
        <b/>
        <sz val="9"/>
        <rFont val="Times New Roman"/>
        <family val="1"/>
      </rPr>
      <t>Ir.H. ANIS MUJAHID AKBAR</t>
    </r>
  </si>
  <si>
    <r>
      <t xml:space="preserve"> - Komisaris               :</t>
    </r>
    <r>
      <rPr>
        <b/>
        <sz val="10"/>
        <rFont val="Times New Roman"/>
        <family val="1"/>
      </rPr>
      <t xml:space="preserve"> L. M SUBUR SAID, SE</t>
    </r>
  </si>
  <si>
    <t>b. Tabungan Wadi'ah</t>
  </si>
  <si>
    <t>c. Deposito Mudharabah</t>
  </si>
  <si>
    <r>
      <t xml:space="preserve"> -</t>
    </r>
    <r>
      <rPr>
        <b/>
        <sz val="10"/>
        <rFont val="Times New Roman"/>
        <family val="1"/>
      </rPr>
      <t xml:space="preserve"> Direktur Utama</t>
    </r>
    <r>
      <rPr>
        <sz val="10"/>
        <rFont val="Times New Roman"/>
        <family val="1"/>
      </rPr>
      <t xml:space="preserve">      :   </t>
    </r>
    <r>
      <rPr>
        <b/>
        <sz val="10"/>
        <rFont val="Times New Roman"/>
        <family val="1"/>
      </rPr>
      <t>A H M A D,  SE</t>
    </r>
  </si>
  <si>
    <t xml:space="preserve"> - H. M.Yusron Azzahidi</t>
  </si>
  <si>
    <t>ABA</t>
  </si>
  <si>
    <t>os</t>
  </si>
  <si>
    <t>IVAN EROKA YULIADJI, S.Kom</t>
  </si>
  <si>
    <t>Kewajiban segera</t>
  </si>
  <si>
    <t>Titipan Jasa Notaris</t>
  </si>
  <si>
    <t>PPh Pasal 4 Ayat 2</t>
  </si>
  <si>
    <t>Titipan BPIU Karyawan</t>
  </si>
  <si>
    <t>PPh 21</t>
  </si>
  <si>
    <t>PPh Pasal 25</t>
  </si>
  <si>
    <t>Titipan Premi Jasindo</t>
  </si>
  <si>
    <t>Iuran BPJS Ketenagakerjaan &amp; Kesehatan</t>
  </si>
  <si>
    <t>Titipan PPh 23</t>
  </si>
  <si>
    <t>Titipan Premi Asuransi Jamkrida</t>
  </si>
  <si>
    <t>Titipan Basil Dep. 3 bulan</t>
  </si>
  <si>
    <t>Titipan Basil Dep. 6 bulan</t>
  </si>
  <si>
    <t>Titipan Basil Dep. 12 bulan</t>
  </si>
  <si>
    <t>Titipan Basil Dep 6 bulan ABP</t>
  </si>
  <si>
    <t>Titipan Uang Muka AYDA</t>
  </si>
  <si>
    <t>Basil YMHD Deposito ABP</t>
  </si>
  <si>
    <t>Basil YMHD Dep. Mudh 3 bulan</t>
  </si>
  <si>
    <t>Basil YMHD Dep. Mudh 6 bulan</t>
  </si>
  <si>
    <t>Basil YMHD Dep. Mudh 12 bulan</t>
  </si>
  <si>
    <t>Nominal</t>
  </si>
  <si>
    <t>Tabungan Mudharabah</t>
  </si>
  <si>
    <t>-</t>
  </si>
  <si>
    <t>Tabungan Mudharabah Umum</t>
  </si>
  <si>
    <t>Tabungan Al-Hajj</t>
  </si>
  <si>
    <t>Tabungan Qurban</t>
  </si>
  <si>
    <t>Tabungan Wadiah</t>
  </si>
  <si>
    <t>Non Bank</t>
  </si>
  <si>
    <t>Tabungan Pembiayaan</t>
  </si>
  <si>
    <t>Deposito Mudharabah</t>
  </si>
  <si>
    <t>Berjangka Waktu 3 Bulan</t>
  </si>
  <si>
    <t>Berjangka Waktu 6 Bulan</t>
  </si>
  <si>
    <t>Berjangka Waktu 12 Bulan</t>
  </si>
  <si>
    <t>kewajiban pada bank lain</t>
  </si>
  <si>
    <t xml:space="preserve">total kewajiban pada bank lain </t>
  </si>
  <si>
    <t>Kewajban lain-lain</t>
  </si>
  <si>
    <t xml:space="preserve">- </t>
  </si>
  <si>
    <t>Dana Zakat</t>
  </si>
  <si>
    <t>Dana Infaq</t>
  </si>
  <si>
    <t>Sadaqoh</t>
  </si>
  <si>
    <t>Infaq dan Shodaqoh</t>
  </si>
  <si>
    <t>Titipan Dana Kebajikan</t>
  </si>
  <si>
    <t>Taksiran Pajak Penghasilan/PPh</t>
  </si>
  <si>
    <t>Titipan Lancar lainnya</t>
  </si>
  <si>
    <t>Titipan Dana Lainnya</t>
  </si>
  <si>
    <t>Titipan Fee MGP</t>
  </si>
  <si>
    <t>Titipan Rekening Antara</t>
  </si>
  <si>
    <t>Pendapatan Adm Ditangguhkan</t>
  </si>
  <si>
    <t xml:space="preserve">Cadangan Tantiem </t>
  </si>
  <si>
    <t>Cadangan Jasa Produksi</t>
  </si>
  <si>
    <t>Cadangan THR</t>
  </si>
  <si>
    <t>Cadangan Biaya pendidikan</t>
  </si>
  <si>
    <t>Hutang Dividen</t>
  </si>
  <si>
    <t>Titipan Imbalan Kerja Karyawan</t>
  </si>
  <si>
    <t>Dana Pensiun Direksi dan Komisaris</t>
  </si>
  <si>
    <t>Kewajiban Imbalan Kerja</t>
  </si>
  <si>
    <t>Bagi Hasil Yang Belum Dibagikan</t>
  </si>
  <si>
    <t xml:space="preserve">Basil YMHD ABP </t>
  </si>
  <si>
    <t>Utang Pajak</t>
  </si>
  <si>
    <t>PPh Final Pasal 4 (2)</t>
  </si>
  <si>
    <t>Titipan Premi Asuransi Jasindo</t>
  </si>
  <si>
    <t>PPh Pasal 21</t>
  </si>
  <si>
    <t>Total kewajiban lain-lain</t>
  </si>
  <si>
    <t>Giro pada Bank Lain</t>
  </si>
  <si>
    <t>Giro Bank Muamalat Indonesia</t>
  </si>
  <si>
    <t>Giro Bank Mega Syariah</t>
  </si>
  <si>
    <t>Giro Bank Panin Dubai Syariah</t>
  </si>
  <si>
    <t>Giro Bank Permata Syariah</t>
  </si>
  <si>
    <t>Giro Bank Danamon Syariah</t>
  </si>
  <si>
    <t>Tabungan Bank  NTB Syariah</t>
  </si>
  <si>
    <t>Tabungan Bank Syariah Indonesia</t>
  </si>
  <si>
    <t>Tabungan Bank Muamalat</t>
  </si>
  <si>
    <t>Tabungan Bank Mega Syariah</t>
  </si>
  <si>
    <t>Tabungan Bank Panin Dubai Syariah</t>
  </si>
  <si>
    <t>Tabungan Bank Panin Dubai Syariah Bisnis</t>
  </si>
  <si>
    <t>Tabungan BPRS HIK Parahyangan</t>
  </si>
  <si>
    <t>Tabungan BPRS Dinar Ashri</t>
  </si>
  <si>
    <t>Deposito PT Bank Muamalat Indonesia</t>
  </si>
  <si>
    <t>Deposito PT BPRS  Patuh Beramal</t>
  </si>
  <si>
    <t>Deposito PT BPRS Artha Madani</t>
  </si>
  <si>
    <t>Deposito PT Bank Danamon Syariah</t>
  </si>
  <si>
    <t>Deposito PT BPRS Dinar Ashri</t>
  </si>
  <si>
    <t>Total ABA</t>
  </si>
  <si>
    <t>Pembiayaan Murabahah Jatuh Tempo</t>
  </si>
  <si>
    <t>Margin Murabahah Yang Ditangguhkan</t>
  </si>
  <si>
    <t>Total</t>
  </si>
  <si>
    <t>OS</t>
  </si>
  <si>
    <t>Pembiayaan iB Musyarakah</t>
  </si>
  <si>
    <t>Ijarah Muntahiya Bittamlik</t>
  </si>
  <si>
    <t>Akumulasi Penyusutan Aset Ijarah</t>
  </si>
  <si>
    <t>Margin Piutang Ijarah</t>
  </si>
  <si>
    <t>PPAP</t>
  </si>
  <si>
    <t>Pembentukan PPAP/ Kelebihan PPAP ABA</t>
  </si>
  <si>
    <t>Murababah</t>
  </si>
  <si>
    <t>Musyarakah</t>
  </si>
  <si>
    <t>Aset Tetap dan Inventaris</t>
  </si>
  <si>
    <t>Harga perolehan</t>
  </si>
  <si>
    <t>Tanah</t>
  </si>
  <si>
    <t>Bangunan</t>
  </si>
  <si>
    <t>Kendaraan</t>
  </si>
  <si>
    <t>Inventaris Peralatan Kantor</t>
  </si>
  <si>
    <t>Inventaris Meubel</t>
  </si>
  <si>
    <t>Peralatan Komputer</t>
  </si>
  <si>
    <t>Aset Dalam Pelaksanaan</t>
  </si>
  <si>
    <t>Akumulasi penyusutan</t>
  </si>
  <si>
    <t>Aset Tak Berwujud (Software)</t>
  </si>
  <si>
    <t>Harga Perolehan</t>
  </si>
  <si>
    <t>Akumulasi Amortisasi</t>
  </si>
  <si>
    <t>Aset lain-lain</t>
  </si>
  <si>
    <t>Aset Lain-Lain</t>
  </si>
  <si>
    <t>Titipan Ayda</t>
  </si>
  <si>
    <t>Persediaan Materai</t>
  </si>
  <si>
    <t>Uang Muka PPh 25 (Pasal 28 A)</t>
  </si>
  <si>
    <t>Lainnya</t>
  </si>
  <si>
    <t>BDD Biaya Virtual account</t>
  </si>
  <si>
    <t>Iuran DPLK Karyawan</t>
  </si>
  <si>
    <t>Angsuran Pajak Badan</t>
  </si>
  <si>
    <t>total aset lain-lain</t>
  </si>
  <si>
    <t>PASIVA</t>
  </si>
  <si>
    <t>Direktur Kepatuhan dan Operasional</t>
  </si>
  <si>
    <t xml:space="preserve">Tabungan Bank Permata Syariah </t>
  </si>
  <si>
    <t xml:space="preserve"> </t>
  </si>
  <si>
    <t>1. Pendapatan Operasional dari penyaluran Dana</t>
  </si>
  <si>
    <t>Titipan PPh Final Deviden</t>
  </si>
  <si>
    <t>NIM</t>
  </si>
  <si>
    <t>Periode Sept 2025 dan Sept 2024</t>
  </si>
  <si>
    <t>KAS</t>
  </si>
  <si>
    <t>Tabungan pada Bank Lain</t>
  </si>
  <si>
    <t>Deposito Bank Panin Dubai Syariah</t>
  </si>
  <si>
    <t>Uang Muka Pajak</t>
  </si>
  <si>
    <t>BDD asuransi</t>
  </si>
  <si>
    <t>Pendapatan Yang Akan Diterima</t>
  </si>
  <si>
    <t>UMB (BDD Lainnya)</t>
  </si>
  <si>
    <t>Tabungan Ukhuwah</t>
  </si>
  <si>
    <t>LABA/RUGI</t>
  </si>
  <si>
    <t>Paokmotong, 13 Oktober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</si>
</sst>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(* #,##0_);_(* \(#,##0\);_(* &quot;-&quot;_);_(@_)"/>
    <numFmt numFmtId="164" formatCode="_-* #,##0_-;\-* #,##0_-;_-* &quot;-&quot;_-;_-@_-"/>
    <numFmt numFmtId="165" formatCode="_-* #,##0.00_-;\-* #,##0.00_-;_-* &quot;-&quot;??_-;_-@_-"/>
    <numFmt numFmtId="166" formatCode="[$-421]dd\ mmmm\ yyyy;@"/>
    <numFmt numFmtId="167" formatCode="_-* #,##0_-;\-* #,##0_-;_-* &quot;-&quot;??_-;_-@_-"/>
    <numFmt numFmtId="168" formatCode="_(* #,##0.00_);_(* \(#,##0.00\);_(* &quot;-&quot;_);_(@_)"/>
    <numFmt numFmtId="169" formatCode="0_);\(0\)"/>
  </numFmts>
  <fonts count="17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1"/>
      <scheme val="minor"/>
    </font>
    <font>
      <sz val="9"/>
      <color theme="1"/>
      <name val="Calibri"/>
      <family val="2"/>
      <charset val="1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59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9"/>
      <name val="Times New Roman"/>
      <family val="1"/>
    </font>
    <font>
      <b/>
      <sz val="9"/>
      <name val="Times New Roman"/>
      <family val="1"/>
    </font>
    <font>
      <b/>
      <sz val="10"/>
      <color theme="0"/>
      <name val="Times New Roman"/>
      <family val="1"/>
    </font>
    <font>
      <sz val="10"/>
      <name val="Arial"/>
      <family val="2"/>
    </font>
    <font>
      <sz val="10"/>
      <color indexed="8"/>
      <name val="Century Gothic"/>
      <family val="2"/>
    </font>
    <font>
      <b/>
      <sz val="10"/>
      <color indexed="8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/>
  </cellStyleXfs>
  <cellXfs count="119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/>
    <xf numFmtId="0" fontId="5" fillId="0" borderId="0" xfId="0" applyFont="1"/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166" fontId="0" fillId="0" borderId="5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2" fillId="0" borderId="0" xfId="0" applyFont="1"/>
    <xf numFmtId="167" fontId="0" fillId="0" borderId="6" xfId="1" applyNumberFormat="1" applyFont="1" applyBorder="1"/>
    <xf numFmtId="0" fontId="2" fillId="0" borderId="6" xfId="0" applyFont="1" applyBorder="1"/>
    <xf numFmtId="167" fontId="2" fillId="0" borderId="7" xfId="0" applyNumberFormat="1" applyFont="1" applyBorder="1"/>
    <xf numFmtId="0" fontId="0" fillId="0" borderId="6" xfId="0" applyBorder="1"/>
    <xf numFmtId="167" fontId="0" fillId="0" borderId="7" xfId="1" applyNumberFormat="1" applyFont="1" applyFill="1" applyBorder="1"/>
    <xf numFmtId="167" fontId="0" fillId="0" borderId="7" xfId="1" applyNumberFormat="1" applyFont="1" applyBorder="1"/>
    <xf numFmtId="0" fontId="0" fillId="0" borderId="4" xfId="0" applyBorder="1"/>
    <xf numFmtId="0" fontId="0" fillId="0" borderId="9" xfId="0" applyBorder="1"/>
    <xf numFmtId="0" fontId="0" fillId="0" borderId="11" xfId="0" applyBorder="1"/>
    <xf numFmtId="0" fontId="2" fillId="0" borderId="12" xfId="0" applyFont="1" applyBorder="1"/>
    <xf numFmtId="167" fontId="2" fillId="0" borderId="3" xfId="0" applyNumberFormat="1" applyFont="1" applyBorder="1"/>
    <xf numFmtId="0" fontId="0" fillId="0" borderId="12" xfId="0" applyBorder="1"/>
    <xf numFmtId="167" fontId="2" fillId="0" borderId="6" xfId="0" applyNumberFormat="1" applyFont="1" applyBorder="1"/>
    <xf numFmtId="167" fontId="2" fillId="0" borderId="7" xfId="1" applyNumberFormat="1" applyFont="1" applyFill="1" applyBorder="1"/>
    <xf numFmtId="0" fontId="0" fillId="0" borderId="5" xfId="0" applyBorder="1" applyAlignment="1">
      <alignment horizontal="center"/>
    </xf>
    <xf numFmtId="0" fontId="2" fillId="0" borderId="13" xfId="0" applyFont="1" applyBorder="1" applyAlignment="1">
      <alignment horizontal="center"/>
    </xf>
    <xf numFmtId="167" fontId="2" fillId="0" borderId="5" xfId="0" applyNumberFormat="1" applyFont="1" applyBorder="1"/>
    <xf numFmtId="167" fontId="2" fillId="0" borderId="3" xfId="1" applyNumberFormat="1" applyFont="1" applyFill="1" applyBorder="1"/>
    <xf numFmtId="167" fontId="0" fillId="0" borderId="6" xfId="1" applyNumberFormat="1" applyFont="1" applyFill="1" applyBorder="1"/>
    <xf numFmtId="0" fontId="2" fillId="0" borderId="14" xfId="0" applyFont="1" applyBorder="1"/>
    <xf numFmtId="0" fontId="0" fillId="0" borderId="15" xfId="0" applyBorder="1"/>
    <xf numFmtId="167" fontId="2" fillId="0" borderId="6" xfId="1" applyNumberFormat="1" applyFont="1" applyBorder="1"/>
    <xf numFmtId="3" fontId="2" fillId="0" borderId="7" xfId="0" applyNumberFormat="1" applyFont="1" applyBorder="1"/>
    <xf numFmtId="0" fontId="7" fillId="0" borderId="0" xfId="0" applyFont="1"/>
    <xf numFmtId="0" fontId="8" fillId="3" borderId="2" xfId="0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0" fillId="0" borderId="14" xfId="0" applyBorder="1"/>
    <xf numFmtId="0" fontId="0" fillId="3" borderId="1" xfId="0" applyFill="1" applyBorder="1"/>
    <xf numFmtId="0" fontId="0" fillId="3" borderId="17" xfId="0" applyFill="1" applyBorder="1"/>
    <xf numFmtId="0" fontId="9" fillId="3" borderId="5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1" fillId="3" borderId="1" xfId="0" applyFont="1" applyFill="1" applyBorder="1"/>
    <xf numFmtId="0" fontId="10" fillId="3" borderId="6" xfId="0" applyFont="1" applyFill="1" applyBorder="1"/>
    <xf numFmtId="167" fontId="0" fillId="0" borderId="0" xfId="0" applyNumberFormat="1"/>
    <xf numFmtId="0" fontId="0" fillId="3" borderId="6" xfId="0" applyFill="1" applyBorder="1"/>
    <xf numFmtId="0" fontId="10" fillId="3" borderId="1" xfId="0" applyFont="1" applyFill="1" applyBorder="1"/>
    <xf numFmtId="0" fontId="13" fillId="3" borderId="1" xfId="0" applyFont="1" applyFill="1" applyBorder="1"/>
    <xf numFmtId="0" fontId="9" fillId="3" borderId="6" xfId="0" applyFont="1" applyFill="1" applyBorder="1"/>
    <xf numFmtId="0" fontId="10" fillId="3" borderId="21" xfId="0" applyFont="1" applyFill="1" applyBorder="1" applyAlignment="1">
      <alignment horizontal="left"/>
    </xf>
    <xf numFmtId="168" fontId="10" fillId="3" borderId="22" xfId="2" applyNumberFormat="1" applyFont="1" applyFill="1" applyBorder="1" applyAlignment="1">
      <alignment horizontal="center"/>
    </xf>
    <xf numFmtId="0" fontId="9" fillId="3" borderId="4" xfId="0" applyFont="1" applyFill="1" applyBorder="1" applyAlignment="1">
      <alignment horizontal="center"/>
    </xf>
    <xf numFmtId="0" fontId="9" fillId="3" borderId="23" xfId="0" applyFont="1" applyFill="1" applyBorder="1" applyAlignment="1">
      <alignment horizontal="center"/>
    </xf>
    <xf numFmtId="41" fontId="9" fillId="3" borderId="24" xfId="2" applyNumberFormat="1" applyFont="1" applyFill="1" applyBorder="1" applyAlignment="1">
      <alignment horizontal="center"/>
    </xf>
    <xf numFmtId="0" fontId="2" fillId="0" borderId="10" xfId="0" applyFont="1" applyBorder="1"/>
    <xf numFmtId="0" fontId="2" fillId="0" borderId="11" xfId="0" applyFont="1" applyBorder="1"/>
    <xf numFmtId="0" fontId="2" fillId="0" borderId="15" xfId="0" applyFont="1" applyBorder="1"/>
    <xf numFmtId="10" fontId="2" fillId="0" borderId="8" xfId="0" applyNumberFormat="1" applyFont="1" applyBorder="1"/>
    <xf numFmtId="10" fontId="2" fillId="0" borderId="7" xfId="0" applyNumberFormat="1" applyFont="1" applyBorder="1"/>
    <xf numFmtId="10" fontId="2" fillId="0" borderId="7" xfId="0" applyNumberFormat="1" applyFont="1" applyBorder="1" applyAlignment="1">
      <alignment horizontal="right"/>
    </xf>
    <xf numFmtId="10" fontId="2" fillId="0" borderId="9" xfId="0" applyNumberFormat="1" applyFont="1" applyBorder="1"/>
    <xf numFmtId="0" fontId="9" fillId="3" borderId="18" xfId="0" applyFont="1" applyFill="1" applyBorder="1"/>
    <xf numFmtId="0" fontId="9" fillId="3" borderId="18" xfId="0" applyFont="1" applyFill="1" applyBorder="1" applyAlignment="1">
      <alignment horizontal="left"/>
    </xf>
    <xf numFmtId="0" fontId="9" fillId="3" borderId="20" xfId="0" applyFont="1" applyFill="1" applyBorder="1"/>
    <xf numFmtId="0" fontId="9" fillId="3" borderId="20" xfId="0" applyFont="1" applyFill="1" applyBorder="1" applyAlignment="1">
      <alignment horizontal="left"/>
    </xf>
    <xf numFmtId="168" fontId="9" fillId="3" borderId="19" xfId="2" applyNumberFormat="1" applyFont="1" applyFill="1" applyBorder="1" applyAlignment="1">
      <alignment horizontal="center"/>
    </xf>
    <xf numFmtId="167" fontId="2" fillId="0" borderId="4" xfId="1" applyNumberFormat="1" applyFont="1" applyBorder="1"/>
    <xf numFmtId="167" fontId="0" fillId="0" borderId="6" xfId="0" applyNumberFormat="1" applyBorder="1"/>
    <xf numFmtId="0" fontId="0" fillId="3" borderId="12" xfId="0" applyFill="1" applyBorder="1"/>
    <xf numFmtId="165" fontId="0" fillId="0" borderId="0" xfId="0" applyNumberFormat="1"/>
    <xf numFmtId="0" fontId="2" fillId="3" borderId="12" xfId="0" applyFont="1" applyFill="1" applyBorder="1"/>
    <xf numFmtId="3" fontId="0" fillId="0" borderId="0" xfId="0" applyNumberFormat="1"/>
    <xf numFmtId="165" fontId="0" fillId="0" borderId="0" xfId="1" applyFont="1"/>
    <xf numFmtId="0" fontId="0" fillId="0" borderId="6" xfId="0" applyBorder="1" applyAlignment="1">
      <alignment horizontal="right"/>
    </xf>
    <xf numFmtId="164" fontId="0" fillId="0" borderId="6" xfId="0" applyNumberFormat="1" applyBorder="1"/>
    <xf numFmtId="4" fontId="0" fillId="0" borderId="0" xfId="0" applyNumberFormat="1"/>
    <xf numFmtId="0" fontId="2" fillId="0" borderId="0" xfId="0" applyFont="1" applyAlignment="1">
      <alignment wrapText="1"/>
    </xf>
    <xf numFmtId="167" fontId="0" fillId="0" borderId="0" xfId="1" applyNumberFormat="1" applyFont="1"/>
    <xf numFmtId="0" fontId="0" fillId="4" borderId="25" xfId="0" applyFill="1" applyBorder="1"/>
    <xf numFmtId="167" fontId="0" fillId="4" borderId="25" xfId="1" applyNumberFormat="1" applyFont="1" applyFill="1" applyBorder="1"/>
    <xf numFmtId="0" fontId="0" fillId="0" borderId="25" xfId="0" applyBorder="1"/>
    <xf numFmtId="167" fontId="0" fillId="0" borderId="25" xfId="1" applyNumberFormat="1" applyFont="1" applyBorder="1"/>
    <xf numFmtId="167" fontId="2" fillId="0" borderId="25" xfId="1" applyNumberFormat="1" applyFont="1" applyBorder="1"/>
    <xf numFmtId="0" fontId="2" fillId="0" borderId="25" xfId="0" applyFont="1" applyBorder="1"/>
    <xf numFmtId="0" fontId="2" fillId="4" borderId="25" xfId="0" applyFont="1" applyFill="1" applyBorder="1"/>
    <xf numFmtId="167" fontId="2" fillId="4" borderId="25" xfId="1" applyNumberFormat="1" applyFont="1" applyFill="1" applyBorder="1"/>
    <xf numFmtId="0" fontId="2" fillId="0" borderId="0" xfId="0" applyFont="1" applyAlignment="1">
      <alignment horizontal="center"/>
    </xf>
    <xf numFmtId="0" fontId="15" fillId="0" borderId="25" xfId="0" quotePrefix="1" applyFont="1" applyBorder="1"/>
    <xf numFmtId="169" fontId="15" fillId="0" borderId="25" xfId="3" applyNumberFormat="1" applyFont="1" applyFill="1" applyBorder="1"/>
    <xf numFmtId="167" fontId="15" fillId="0" borderId="25" xfId="1" applyNumberFormat="1" applyFont="1" applyFill="1" applyBorder="1"/>
    <xf numFmtId="169" fontId="16" fillId="0" borderId="25" xfId="3" applyNumberFormat="1" applyFont="1" applyFill="1" applyBorder="1"/>
    <xf numFmtId="167" fontId="2" fillId="0" borderId="0" xfId="1" applyNumberFormat="1" applyFont="1" applyAlignment="1">
      <alignment horizontal="center"/>
    </xf>
    <xf numFmtId="0" fontId="0" fillId="0" borderId="6" xfId="1" applyNumberFormat="1" applyFont="1" applyBorder="1"/>
    <xf numFmtId="167" fontId="0" fillId="0" borderId="7" xfId="0" applyNumberFormat="1" applyBorder="1"/>
    <xf numFmtId="9" fontId="2" fillId="0" borderId="7" xfId="0" applyNumberFormat="1" applyFont="1" applyBorder="1" applyAlignment="1">
      <alignment horizontal="righ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9" fillId="3" borderId="16" xfId="0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2" fillId="0" borderId="0" xfId="0" applyFont="1" applyAlignment="1">
      <alignment horizontal="left"/>
    </xf>
    <xf numFmtId="0" fontId="2" fillId="0" borderId="7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6" fontId="2" fillId="0" borderId="0" xfId="0" applyNumberFormat="1" applyFont="1" applyAlignment="1">
      <alignment horizontal="left"/>
    </xf>
    <xf numFmtId="166" fontId="2" fillId="0" borderId="7" xfId="0" applyNumberFormat="1" applyFont="1" applyBorder="1" applyAlignment="1">
      <alignment horizontal="left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0" fillId="4" borderId="26" xfId="0" applyFill="1" applyBorder="1" applyAlignment="1">
      <alignment horizontal="center"/>
    </xf>
    <xf numFmtId="0" fontId="0" fillId="4" borderId="27" xfId="0" applyFill="1" applyBorder="1" applyAlignment="1">
      <alignment horizontal="center"/>
    </xf>
    <xf numFmtId="0" fontId="2" fillId="4" borderId="26" xfId="0" applyFont="1" applyFill="1" applyBorder="1" applyAlignment="1">
      <alignment horizontal="center"/>
    </xf>
    <xf numFmtId="0" fontId="2" fillId="4" borderId="27" xfId="0" applyFont="1" applyFill="1" applyBorder="1" applyAlignment="1">
      <alignment horizontal="center"/>
    </xf>
  </cellXfs>
  <cellStyles count="5">
    <cellStyle name="Comma" xfId="1" builtinId="3"/>
    <cellStyle name="Comma [0]" xfId="2" builtinId="6"/>
    <cellStyle name="Comma [0] 2" xfId="3" xr:uid="{E91041C8-A203-43C3-BE34-C35C6CB7D198}"/>
    <cellStyle name="Normal" xfId="0" builtinId="0"/>
    <cellStyle name="Normal 2 2" xfId="4" xr:uid="{C9C5837C-866E-4A35-991B-EFEC82C25D0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F51220-4950-46EA-82FA-CB707D9F2AFD}">
  <dimension ref="A1:AE118"/>
  <sheetViews>
    <sheetView tabSelected="1" topLeftCell="C15" zoomScale="75" zoomScaleNormal="75" workbookViewId="0">
      <selection activeCell="L19" sqref="L19"/>
    </sheetView>
  </sheetViews>
  <sheetFormatPr defaultRowHeight="15" x14ac:dyDescent="0.25"/>
  <cols>
    <col min="1" max="1" width="3.28515625" style="1" customWidth="1"/>
    <col min="2" max="2" width="47.7109375" bestFit="1" customWidth="1"/>
    <col min="3" max="3" width="32.85546875" bestFit="1" customWidth="1"/>
    <col min="4" max="4" width="21" bestFit="1" customWidth="1"/>
    <col min="5" max="5" width="1.5703125" customWidth="1"/>
    <col min="6" max="6" width="51.28515625" bestFit="1" customWidth="1"/>
    <col min="7" max="7" width="26" bestFit="1" customWidth="1"/>
    <col min="8" max="8" width="22.140625" customWidth="1"/>
    <col min="9" max="9" width="1.5703125" customWidth="1"/>
    <col min="10" max="10" width="38.28515625" customWidth="1"/>
    <col min="11" max="11" width="19.7109375" customWidth="1"/>
    <col min="12" max="12" width="20.85546875" bestFit="1" customWidth="1"/>
    <col min="14" max="14" width="17.7109375" bestFit="1" customWidth="1"/>
  </cols>
  <sheetData>
    <row r="1" spans="1:31" x14ac:dyDescent="0.25">
      <c r="A1" s="97" t="s">
        <v>0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x14ac:dyDescent="0.25">
      <c r="A2" s="97" t="s">
        <v>1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x14ac:dyDescent="0.25">
      <c r="A3" s="97" t="s">
        <v>2</v>
      </c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x14ac:dyDescent="0.25">
      <c r="A4" s="2"/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spans="1:31" x14ac:dyDescent="0.25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31" x14ac:dyDescent="0.25">
      <c r="A6" s="97" t="s">
        <v>3</v>
      </c>
      <c r="B6" s="97"/>
      <c r="C6" s="97"/>
      <c r="D6" s="97"/>
      <c r="F6" s="97" t="s">
        <v>4</v>
      </c>
      <c r="G6" s="97"/>
      <c r="H6" s="97"/>
      <c r="J6" s="97" t="s">
        <v>5</v>
      </c>
      <c r="K6" s="97"/>
      <c r="L6" s="97"/>
    </row>
    <row r="7" spans="1:31" x14ac:dyDescent="0.25">
      <c r="A7" s="97" t="s">
        <v>6</v>
      </c>
      <c r="B7" s="97"/>
      <c r="C7" s="97"/>
      <c r="D7" s="97"/>
      <c r="F7" s="97" t="s">
        <v>6</v>
      </c>
      <c r="G7" s="97"/>
      <c r="H7" s="97"/>
      <c r="J7" s="97" t="s">
        <v>6</v>
      </c>
      <c r="K7" s="97"/>
      <c r="L7" s="97"/>
    </row>
    <row r="8" spans="1:31" x14ac:dyDescent="0.25">
      <c r="A8" s="98" t="s">
        <v>246</v>
      </c>
      <c r="B8" s="98"/>
      <c r="C8" s="98"/>
      <c r="D8" s="98"/>
      <c r="F8" s="99" t="s">
        <v>246</v>
      </c>
      <c r="G8" s="99"/>
      <c r="H8" s="99"/>
      <c r="J8" s="99" t="s">
        <v>246</v>
      </c>
      <c r="K8" s="99"/>
      <c r="L8" s="99"/>
    </row>
    <row r="9" spans="1:31" ht="15.75" thickBot="1" x14ac:dyDescent="0.3">
      <c r="D9" s="4" t="s">
        <v>7</v>
      </c>
      <c r="H9" t="s">
        <v>8</v>
      </c>
      <c r="L9" t="s">
        <v>9</v>
      </c>
    </row>
    <row r="10" spans="1:31" ht="15.75" thickBot="1" x14ac:dyDescent="0.3">
      <c r="A10" s="104"/>
      <c r="B10" s="106" t="s">
        <v>10</v>
      </c>
      <c r="C10" s="108" t="s">
        <v>11</v>
      </c>
      <c r="D10" s="109"/>
      <c r="F10" s="106" t="s">
        <v>10</v>
      </c>
      <c r="G10" s="108" t="s">
        <v>11</v>
      </c>
      <c r="H10" s="109"/>
      <c r="J10" s="106" t="s">
        <v>10</v>
      </c>
      <c r="K10" s="108" t="s">
        <v>11</v>
      </c>
      <c r="L10" s="109"/>
    </row>
    <row r="11" spans="1:31" ht="15.75" thickBot="1" x14ac:dyDescent="0.3">
      <c r="A11" s="105"/>
      <c r="B11" s="107"/>
      <c r="C11" s="7">
        <v>45930</v>
      </c>
      <c r="D11" s="7">
        <v>45565</v>
      </c>
      <c r="F11" s="107"/>
      <c r="G11" s="7">
        <v>45930</v>
      </c>
      <c r="H11" s="7">
        <v>45565</v>
      </c>
      <c r="J11" s="107"/>
      <c r="K11" s="7">
        <v>45930</v>
      </c>
      <c r="L11" s="7">
        <v>45565</v>
      </c>
    </row>
    <row r="12" spans="1:31" x14ac:dyDescent="0.25">
      <c r="A12" s="8"/>
      <c r="C12" s="9"/>
      <c r="D12" s="10"/>
      <c r="F12" s="9"/>
      <c r="G12" s="11"/>
      <c r="H12" s="9"/>
      <c r="J12" s="9"/>
      <c r="K12" s="9"/>
      <c r="L12" s="11"/>
    </row>
    <row r="13" spans="1:31" x14ac:dyDescent="0.25">
      <c r="A13" s="8"/>
      <c r="B13" s="12" t="s">
        <v>12</v>
      </c>
      <c r="C13" s="13"/>
      <c r="D13" s="13"/>
      <c r="F13" s="14" t="s">
        <v>13</v>
      </c>
      <c r="G13" s="15">
        <f>G14+G18</f>
        <v>6395304.068</v>
      </c>
      <c r="H13" s="15">
        <f>H14+H18</f>
        <v>8193422</v>
      </c>
      <c r="J13" s="14" t="s">
        <v>14</v>
      </c>
      <c r="K13" s="16"/>
      <c r="L13" s="10"/>
    </row>
    <row r="14" spans="1:31" x14ac:dyDescent="0.25">
      <c r="A14" s="8">
        <v>1</v>
      </c>
      <c r="B14" t="s">
        <v>15</v>
      </c>
      <c r="C14" s="31">
        <f>neraca!C2/1000</f>
        <v>95342.5</v>
      </c>
      <c r="D14" s="13">
        <v>271934</v>
      </c>
      <c r="F14" s="16" t="s">
        <v>243</v>
      </c>
      <c r="G14" s="15">
        <f>G15+G17</f>
        <v>5780415.3890000004</v>
      </c>
      <c r="H14" s="15">
        <f>H15+H17</f>
        <v>7218050</v>
      </c>
      <c r="J14" s="16" t="s">
        <v>16</v>
      </c>
      <c r="K14" s="16">
        <v>0</v>
      </c>
      <c r="L14" s="10">
        <v>0</v>
      </c>
    </row>
    <row r="15" spans="1:31" x14ac:dyDescent="0.25">
      <c r="A15" s="8">
        <v>2</v>
      </c>
      <c r="B15" t="s">
        <v>17</v>
      </c>
      <c r="C15" s="75">
        <v>0</v>
      </c>
      <c r="D15" s="16">
        <v>0</v>
      </c>
      <c r="F15" s="16" t="s">
        <v>18</v>
      </c>
      <c r="G15" s="17">
        <f>(5395590462-291140734)/1000</f>
        <v>5104449.7280000001</v>
      </c>
      <c r="H15" s="17">
        <f>6107859+710682</f>
        <v>6818541</v>
      </c>
      <c r="J15" s="16" t="s">
        <v>19</v>
      </c>
      <c r="K15" s="16">
        <v>0</v>
      </c>
      <c r="L15" s="10">
        <v>0</v>
      </c>
    </row>
    <row r="16" spans="1:31" x14ac:dyDescent="0.25">
      <c r="A16" s="8">
        <v>3</v>
      </c>
      <c r="B16" t="s">
        <v>20</v>
      </c>
      <c r="C16" s="31">
        <f>neraca!C31/1000</f>
        <v>22629108.335999999</v>
      </c>
      <c r="D16" s="13">
        <f>(181375808+14123296854+4800000000)/1000</f>
        <v>19104672.662</v>
      </c>
      <c r="F16" s="16" t="s">
        <v>21</v>
      </c>
      <c r="G16" s="10">
        <v>0</v>
      </c>
      <c r="H16" s="17">
        <v>0</v>
      </c>
      <c r="J16" s="16"/>
      <c r="K16" s="16"/>
      <c r="L16" s="10"/>
    </row>
    <row r="17" spans="1:12" x14ac:dyDescent="0.25">
      <c r="A17" s="8">
        <v>4</v>
      </c>
      <c r="B17" t="s">
        <v>22</v>
      </c>
      <c r="C17" s="31">
        <f>neraca!C39/1000</f>
        <v>17693871.567000002</v>
      </c>
      <c r="D17" s="13">
        <f>(44188937262-13692946505)/1000</f>
        <v>30495990.756999999</v>
      </c>
      <c r="F17" s="16" t="s">
        <v>23</v>
      </c>
      <c r="G17" s="17">
        <f>(1291174+674674487)/1000</f>
        <v>675965.66099999996</v>
      </c>
      <c r="H17" s="17">
        <f>590+359360+39559</f>
        <v>399509</v>
      </c>
      <c r="J17" s="14" t="s">
        <v>24</v>
      </c>
      <c r="K17" s="16"/>
      <c r="L17" s="10"/>
    </row>
    <row r="18" spans="1:12" x14ac:dyDescent="0.25">
      <c r="A18" s="8">
        <v>5</v>
      </c>
      <c r="B18" t="s">
        <v>25</v>
      </c>
      <c r="C18" s="16">
        <v>0</v>
      </c>
      <c r="D18" s="16">
        <v>0</v>
      </c>
      <c r="F18" s="16" t="s">
        <v>26</v>
      </c>
      <c r="G18" s="26">
        <f>(3644400+432069159+179175120)/1000</f>
        <v>614888.679</v>
      </c>
      <c r="H18" s="26">
        <f>3132+549173+423067</f>
        <v>975372</v>
      </c>
      <c r="J18" s="14" t="s">
        <v>27</v>
      </c>
      <c r="K18" s="31">
        <f>1810309762/1000</f>
        <v>1810309.7620000001</v>
      </c>
      <c r="L18" s="13">
        <v>1657885</v>
      </c>
    </row>
    <row r="19" spans="1:12" x14ac:dyDescent="0.25">
      <c r="A19" s="8">
        <v>6</v>
      </c>
      <c r="B19" t="s">
        <v>28</v>
      </c>
      <c r="C19" s="16">
        <v>0</v>
      </c>
      <c r="D19" s="16">
        <v>0</v>
      </c>
      <c r="F19" s="14" t="s">
        <v>29</v>
      </c>
      <c r="G19" s="15">
        <f>G21+G22+G23+G25</f>
        <v>2173868.0529999998</v>
      </c>
      <c r="H19" s="15">
        <f>H21+H22+H23+H25</f>
        <v>2321251</v>
      </c>
      <c r="J19" s="16" t="s">
        <v>30</v>
      </c>
      <c r="K19" s="31">
        <f>4781879332/1000</f>
        <v>4781879.3320000004</v>
      </c>
      <c r="L19" s="13">
        <v>4875356</v>
      </c>
    </row>
    <row r="20" spans="1:12" x14ac:dyDescent="0.25">
      <c r="A20" s="8">
        <v>7</v>
      </c>
      <c r="B20" t="s">
        <v>31</v>
      </c>
      <c r="C20" s="16">
        <v>0</v>
      </c>
      <c r="D20" s="16">
        <v>0</v>
      </c>
      <c r="F20" s="16" t="s">
        <v>32</v>
      </c>
      <c r="G20" s="10"/>
      <c r="H20" s="10"/>
      <c r="J20" s="16"/>
      <c r="K20" s="16"/>
      <c r="L20" s="10"/>
    </row>
    <row r="21" spans="1:12" ht="15.75" thickBot="1" x14ac:dyDescent="0.3">
      <c r="A21" s="8">
        <v>8</v>
      </c>
      <c r="B21" t="s">
        <v>33</v>
      </c>
      <c r="C21" s="13">
        <f>neraca!C43/1000</f>
        <v>9915139.2660000008</v>
      </c>
      <c r="D21" s="13">
        <f>1518778709/1000</f>
        <v>1518778.709</v>
      </c>
      <c r="F21" s="16" t="s">
        <v>34</v>
      </c>
      <c r="G21" s="17">
        <f>506176812/1000</f>
        <v>506176.81199999998</v>
      </c>
      <c r="H21" s="17">
        <v>491637</v>
      </c>
      <c r="J21" s="19"/>
      <c r="K21" s="19"/>
      <c r="L21" s="20"/>
    </row>
    <row r="22" spans="1:12" ht="15.75" thickBot="1" x14ac:dyDescent="0.3">
      <c r="A22" s="8">
        <v>9</v>
      </c>
      <c r="B22" t="s">
        <v>35</v>
      </c>
      <c r="C22" s="13">
        <f>neraca!C52/1000</f>
        <v>9416076.5769999996</v>
      </c>
      <c r="D22" s="13">
        <f>(11019472228-2179097775)/1000</f>
        <v>8840374.4529999997</v>
      </c>
      <c r="F22" s="16" t="s">
        <v>36</v>
      </c>
      <c r="G22" s="17">
        <f>1639239966/1000</f>
        <v>1639239.966</v>
      </c>
      <c r="H22" s="17">
        <v>1673195</v>
      </c>
    </row>
    <row r="23" spans="1:12" x14ac:dyDescent="0.25">
      <c r="A23" s="8">
        <v>10</v>
      </c>
      <c r="B23" t="s">
        <v>37</v>
      </c>
      <c r="C23" s="16">
        <v>0</v>
      </c>
      <c r="D23" s="16">
        <v>0</v>
      </c>
      <c r="F23" s="16" t="s">
        <v>38</v>
      </c>
      <c r="G23" s="95">
        <v>0</v>
      </c>
      <c r="H23" s="10">
        <v>0</v>
      </c>
      <c r="J23" s="56" t="s">
        <v>39</v>
      </c>
      <c r="K23" s="57"/>
      <c r="L23" s="59">
        <v>0.309</v>
      </c>
    </row>
    <row r="24" spans="1:12" x14ac:dyDescent="0.25">
      <c r="A24" s="8">
        <v>11</v>
      </c>
      <c r="B24" t="s">
        <v>40</v>
      </c>
      <c r="C24" s="69">
        <f>-neraca!C60/1000</f>
        <v>867010.28899999999</v>
      </c>
      <c r="D24" s="13">
        <f>(782030881+7159447)/1000</f>
        <v>789190.32799999998</v>
      </c>
      <c r="F24" s="16" t="s">
        <v>41</v>
      </c>
      <c r="G24" s="10">
        <v>0</v>
      </c>
      <c r="H24" s="10">
        <v>0</v>
      </c>
      <c r="J24" s="22" t="s">
        <v>42</v>
      </c>
      <c r="K24" s="12"/>
      <c r="L24" s="60">
        <v>0.77559999999999996</v>
      </c>
    </row>
    <row r="25" spans="1:12" x14ac:dyDescent="0.25">
      <c r="A25" s="8">
        <v>12</v>
      </c>
      <c r="B25" t="s">
        <v>43</v>
      </c>
      <c r="C25" s="94">
        <v>0</v>
      </c>
      <c r="D25" s="13">
        <v>343775</v>
      </c>
      <c r="F25" s="16" t="s">
        <v>44</v>
      </c>
      <c r="G25" s="18">
        <f>28451275/1000</f>
        <v>28451.275000000001</v>
      </c>
      <c r="H25" s="18">
        <v>156419</v>
      </c>
      <c r="J25" s="22" t="s">
        <v>112</v>
      </c>
      <c r="K25" s="12"/>
      <c r="L25" s="60">
        <v>0.17119999999999999</v>
      </c>
    </row>
    <row r="26" spans="1:12" ht="15.75" thickBot="1" x14ac:dyDescent="0.3">
      <c r="A26" s="8">
        <v>13</v>
      </c>
      <c r="B26" t="s">
        <v>45</v>
      </c>
      <c r="C26" s="16">
        <v>0</v>
      </c>
      <c r="D26" s="16">
        <v>0</v>
      </c>
      <c r="F26" s="16"/>
      <c r="G26" s="10"/>
      <c r="H26" s="10"/>
      <c r="J26" s="22" t="s">
        <v>245</v>
      </c>
      <c r="K26" s="12"/>
      <c r="L26" s="60">
        <v>6.3299999999999995E-2</v>
      </c>
    </row>
    <row r="27" spans="1:12" ht="15.75" thickBot="1" x14ac:dyDescent="0.3">
      <c r="A27" s="8">
        <v>14</v>
      </c>
      <c r="B27" t="s">
        <v>46</v>
      </c>
      <c r="C27" s="13">
        <f>neraca!C72/1000</f>
        <v>6442809.6869999999</v>
      </c>
      <c r="D27" s="13">
        <f>(1400000000+3585636351+1506851899)/1000</f>
        <v>6492488.25</v>
      </c>
      <c r="F27" s="14" t="s">
        <v>47</v>
      </c>
      <c r="G27" s="23">
        <f>G13-G19</f>
        <v>4221436.0150000006</v>
      </c>
      <c r="H27" s="23">
        <f>H13-H19</f>
        <v>5872171</v>
      </c>
      <c r="J27" s="72" t="s">
        <v>48</v>
      </c>
      <c r="K27" s="12"/>
      <c r="L27" s="61">
        <v>1.4999999999999999E-2</v>
      </c>
    </row>
    <row r="28" spans="1:12" x14ac:dyDescent="0.25">
      <c r="A28" s="8">
        <v>15</v>
      </c>
      <c r="B28" t="s">
        <v>49</v>
      </c>
      <c r="C28" s="13">
        <f>-neraca!C83/1000</f>
        <v>1954299.3859999999</v>
      </c>
      <c r="D28" s="13">
        <f>(72400563+836721078+747487841)/1000</f>
        <v>1656609.4820000001</v>
      </c>
      <c r="F28" s="22" t="s">
        <v>50</v>
      </c>
      <c r="G28" s="9"/>
      <c r="H28" s="11"/>
      <c r="J28" s="22" t="s">
        <v>52</v>
      </c>
      <c r="K28" s="12"/>
      <c r="L28" s="96">
        <v>1</v>
      </c>
    </row>
    <row r="29" spans="1:12" x14ac:dyDescent="0.25">
      <c r="A29" s="8">
        <v>16</v>
      </c>
      <c r="B29" t="s">
        <v>51</v>
      </c>
      <c r="C29" s="13">
        <f>neraca!C109/1000</f>
        <v>655911.17099999997</v>
      </c>
      <c r="D29" s="13">
        <f>(265236465+109090500+2750000+33475704+711012299)/1000</f>
        <v>1121564.9680000001</v>
      </c>
      <c r="F29" s="24"/>
      <c r="G29" s="16"/>
      <c r="H29" s="10"/>
      <c r="J29" s="22" t="s">
        <v>54</v>
      </c>
      <c r="K29" s="12"/>
      <c r="L29" s="60">
        <v>0.87919999999999998</v>
      </c>
    </row>
    <row r="30" spans="1:12" ht="15.75" thickBot="1" x14ac:dyDescent="0.3">
      <c r="A30" s="8"/>
      <c r="C30" s="69"/>
      <c r="D30" s="16"/>
      <c r="F30" s="22" t="s">
        <v>53</v>
      </c>
      <c r="G30" s="25">
        <f>SUM(G31:G38)</f>
        <v>3465958.497</v>
      </c>
      <c r="H30" s="26">
        <f>SUM(H31:H38)</f>
        <v>4356751</v>
      </c>
      <c r="J30" s="32" t="s">
        <v>57</v>
      </c>
      <c r="K30" s="58"/>
      <c r="L30" s="62">
        <v>0.2339</v>
      </c>
    </row>
    <row r="31" spans="1:12" ht="15.75" thickBot="1" x14ac:dyDescent="0.3">
      <c r="A31" s="27"/>
      <c r="B31" s="28" t="s">
        <v>55</v>
      </c>
      <c r="C31" s="29">
        <f>C14+C16+C17+C21+C22-C24+C25+C27-C28+C29</f>
        <v>64026949.428999998</v>
      </c>
      <c r="D31" s="30">
        <f>D14+D16+D17+D21+D22-D24+D25+D27-D28+D29</f>
        <v>65743778.989</v>
      </c>
      <c r="F31" s="70" t="s">
        <v>56</v>
      </c>
      <c r="G31" s="31">
        <f>(170326744+36256053+15207924+42147497)/1000</f>
        <v>263938.21799999999</v>
      </c>
      <c r="H31" s="31">
        <f>27948+83591</f>
        <v>111539</v>
      </c>
    </row>
    <row r="32" spans="1:12" x14ac:dyDescent="0.25">
      <c r="A32" s="5"/>
      <c r="B32" s="21"/>
      <c r="C32" s="9"/>
      <c r="D32" s="11"/>
      <c r="F32" s="24" t="s">
        <v>58</v>
      </c>
      <c r="G32" s="31">
        <f>179087241/1000</f>
        <v>179087.24100000001</v>
      </c>
      <c r="H32" s="31">
        <v>238120</v>
      </c>
    </row>
    <row r="33" spans="1:14" x14ac:dyDescent="0.25">
      <c r="A33" s="8"/>
      <c r="B33" s="12" t="s">
        <v>59</v>
      </c>
      <c r="C33" s="16"/>
      <c r="D33" s="10"/>
      <c r="F33" s="24" t="s">
        <v>60</v>
      </c>
      <c r="G33" s="31">
        <f>(85721588+26832130)/1000</f>
        <v>112553.71799999999</v>
      </c>
      <c r="H33" s="31">
        <f>79203+11402</f>
        <v>90605</v>
      </c>
      <c r="J33" s="46"/>
      <c r="K33" s="46"/>
    </row>
    <row r="34" spans="1:14" x14ac:dyDescent="0.25">
      <c r="A34" s="8"/>
      <c r="B34" s="12"/>
      <c r="C34" s="16"/>
      <c r="D34" s="10"/>
      <c r="F34" s="24" t="s">
        <v>111</v>
      </c>
      <c r="G34" s="31">
        <f>12487500/1000</f>
        <v>12487.5</v>
      </c>
      <c r="H34" s="31">
        <v>29476</v>
      </c>
      <c r="J34" s="79"/>
    </row>
    <row r="35" spans="1:14" x14ac:dyDescent="0.25">
      <c r="A35" s="8"/>
      <c r="C35" s="16"/>
      <c r="D35" s="10"/>
      <c r="F35" s="24" t="s">
        <v>107</v>
      </c>
      <c r="G35" s="31">
        <v>688</v>
      </c>
      <c r="H35" s="31">
        <v>6187</v>
      </c>
      <c r="J35" s="46"/>
      <c r="K35" s="46"/>
    </row>
    <row r="36" spans="1:14" x14ac:dyDescent="0.25">
      <c r="A36" s="8">
        <v>1</v>
      </c>
      <c r="B36" t="s">
        <v>61</v>
      </c>
      <c r="C36" s="13">
        <f>neraca!F24/1000</f>
        <v>465271.74</v>
      </c>
      <c r="D36" s="13">
        <f>(236659199+205654534+5689642+7358122)/1000</f>
        <v>455361.49699999997</v>
      </c>
      <c r="F36" s="24" t="s">
        <v>108</v>
      </c>
      <c r="G36" s="31">
        <f>(1801880233+304650192+208414395)/1000</f>
        <v>2314944.8199999998</v>
      </c>
      <c r="H36" s="31">
        <f>2417746+304659+163036</f>
        <v>2885441</v>
      </c>
      <c r="K36" s="46"/>
      <c r="N36" s="71"/>
    </row>
    <row r="37" spans="1:14" x14ac:dyDescent="0.25">
      <c r="A37" s="8">
        <v>2</v>
      </c>
      <c r="B37" t="s">
        <v>62</v>
      </c>
      <c r="C37" s="34"/>
      <c r="D37" s="34"/>
      <c r="F37" s="24" t="s">
        <v>109</v>
      </c>
      <c r="G37" s="31">
        <f>28289000/1000</f>
        <v>28289</v>
      </c>
      <c r="H37" s="31">
        <v>25308</v>
      </c>
      <c r="J37" s="112" t="s">
        <v>256</v>
      </c>
      <c r="K37" s="112"/>
      <c r="L37" s="112"/>
      <c r="M37" s="46"/>
    </row>
    <row r="38" spans="1:14" x14ac:dyDescent="0.25">
      <c r="A38" s="8"/>
      <c r="B38" t="s">
        <v>63</v>
      </c>
      <c r="C38" s="13">
        <f>neraca!J8/1000</f>
        <v>18971091.171999998</v>
      </c>
      <c r="D38" s="13">
        <f>17403091599/1000</f>
        <v>17403091.598999999</v>
      </c>
      <c r="F38" s="24" t="s">
        <v>110</v>
      </c>
      <c r="G38" s="31">
        <f>223932+330038</f>
        <v>553970</v>
      </c>
      <c r="H38" s="31">
        <f>268572+701503</f>
        <v>970075</v>
      </c>
      <c r="J38" s="112" t="s">
        <v>64</v>
      </c>
      <c r="K38" s="112"/>
      <c r="L38" s="112"/>
    </row>
    <row r="39" spans="1:14" x14ac:dyDescent="0.25">
      <c r="A39" s="8"/>
      <c r="B39" t="s">
        <v>115</v>
      </c>
      <c r="C39" s="13">
        <f>neraca!J13/1000</f>
        <v>1422275.085</v>
      </c>
      <c r="D39" s="76">
        <f>751068627/1000</f>
        <v>751068.62699999998</v>
      </c>
      <c r="F39" s="24"/>
      <c r="G39" s="16" t="s">
        <v>242</v>
      </c>
      <c r="H39" s="10"/>
      <c r="J39" s="1"/>
      <c r="K39" s="1"/>
      <c r="L39" s="1"/>
    </row>
    <row r="40" spans="1:14" x14ac:dyDescent="0.25">
      <c r="A40" s="8"/>
      <c r="B40" t="s">
        <v>116</v>
      </c>
      <c r="C40" s="13">
        <f>neraca!J20/1000</f>
        <v>32045000</v>
      </c>
      <c r="D40" s="13">
        <f>34510550000/1000</f>
        <v>34510550</v>
      </c>
      <c r="F40" s="24"/>
      <c r="G40" s="69"/>
      <c r="H40" s="10"/>
      <c r="J40" s="1"/>
      <c r="K40" s="1"/>
      <c r="L40" s="1"/>
    </row>
    <row r="41" spans="1:14" x14ac:dyDescent="0.25">
      <c r="A41" s="8">
        <v>3</v>
      </c>
      <c r="B41" t="s">
        <v>65</v>
      </c>
      <c r="C41" s="13">
        <f>neraca!J36/1000</f>
        <v>99807.562999999995</v>
      </c>
      <c r="D41" s="13">
        <f>1052042038/1000</f>
        <v>1052042.0379999999</v>
      </c>
      <c r="F41" s="24"/>
      <c r="G41" s="16"/>
      <c r="H41" s="10"/>
    </row>
    <row r="42" spans="1:14" x14ac:dyDescent="0.25">
      <c r="A42" s="8">
        <v>4</v>
      </c>
      <c r="B42" t="s">
        <v>66</v>
      </c>
      <c r="C42" s="13">
        <f>neraca!F67/1000</f>
        <v>745627.26399999997</v>
      </c>
      <c r="D42" s="13">
        <f>(106082712+422314088+300321912+333919357+1360000)/1000</f>
        <v>1163998.0689999999</v>
      </c>
      <c r="F42" s="22" t="s">
        <v>67</v>
      </c>
      <c r="G42" s="25">
        <f>G27-G30</f>
        <v>755477.51800000062</v>
      </c>
      <c r="H42" s="35">
        <f>H27-H30</f>
        <v>1515420</v>
      </c>
    </row>
    <row r="43" spans="1:14" x14ac:dyDescent="0.25">
      <c r="A43" s="8"/>
      <c r="C43" s="69"/>
      <c r="D43" s="16"/>
      <c r="F43" s="24"/>
      <c r="G43" s="16"/>
      <c r="H43" s="10"/>
      <c r="J43" s="46"/>
    </row>
    <row r="44" spans="1:14" x14ac:dyDescent="0.25">
      <c r="A44" s="8">
        <v>5</v>
      </c>
      <c r="B44" t="s">
        <v>68</v>
      </c>
      <c r="C44" s="16"/>
      <c r="D44" s="16"/>
      <c r="F44" s="24" t="s">
        <v>69</v>
      </c>
      <c r="G44" s="31">
        <f>28619356/1000</f>
        <v>28619.356</v>
      </c>
      <c r="H44" s="31">
        <f>27280+2075</f>
        <v>29355</v>
      </c>
    </row>
    <row r="45" spans="1:14" x14ac:dyDescent="0.25">
      <c r="A45" s="8"/>
      <c r="B45" t="s">
        <v>70</v>
      </c>
      <c r="C45" s="13">
        <v>8000000</v>
      </c>
      <c r="D45" s="13">
        <v>7600000</v>
      </c>
      <c r="F45" s="24" t="s">
        <v>71</v>
      </c>
      <c r="G45" s="31">
        <f>(7982800+26410000)/1000</f>
        <v>34392.800000000003</v>
      </c>
      <c r="H45" s="31">
        <f>17781+9179</f>
        <v>26960</v>
      </c>
      <c r="J45" s="46"/>
    </row>
    <row r="46" spans="1:14" x14ac:dyDescent="0.25">
      <c r="A46" s="8"/>
      <c r="B46" t="s">
        <v>72</v>
      </c>
      <c r="C46" s="16">
        <v>0</v>
      </c>
      <c r="D46" s="16">
        <v>0</v>
      </c>
      <c r="F46" s="24"/>
      <c r="G46" s="16"/>
      <c r="H46" s="16"/>
    </row>
    <row r="47" spans="1:14" x14ac:dyDescent="0.25">
      <c r="A47" s="8"/>
      <c r="B47" t="s">
        <v>73</v>
      </c>
      <c r="C47" s="13">
        <f>1620000</f>
        <v>1620000</v>
      </c>
      <c r="D47" s="13">
        <v>1520000</v>
      </c>
      <c r="F47" s="22" t="s">
        <v>74</v>
      </c>
      <c r="G47" s="25">
        <f>G42+G44-G45</f>
        <v>749704.0740000006</v>
      </c>
      <c r="H47" s="25">
        <f>H42+H44-H45</f>
        <v>1517815</v>
      </c>
    </row>
    <row r="48" spans="1:14" x14ac:dyDescent="0.25">
      <c r="A48" s="8"/>
      <c r="B48" t="s">
        <v>75</v>
      </c>
      <c r="C48" s="16">
        <v>0</v>
      </c>
      <c r="D48" s="13">
        <f>103771758/1000</f>
        <v>103771.758</v>
      </c>
      <c r="F48" s="22" t="s">
        <v>76</v>
      </c>
      <c r="G48" s="31">
        <v>0</v>
      </c>
      <c r="H48" s="31">
        <v>0</v>
      </c>
      <c r="J48" s="12" t="s">
        <v>79</v>
      </c>
      <c r="K48" s="113" t="s">
        <v>121</v>
      </c>
      <c r="L48" s="114"/>
    </row>
    <row r="49" spans="1:13" ht="15.75" thickBot="1" x14ac:dyDescent="0.3">
      <c r="A49" s="6"/>
      <c r="B49" s="33" t="s">
        <v>77</v>
      </c>
      <c r="C49" s="68">
        <f>neraca!F74/1000</f>
        <v>657876.60400000005</v>
      </c>
      <c r="D49" s="68">
        <f>1183895901/1000</f>
        <v>1183895.9010000001</v>
      </c>
      <c r="F49" s="22" t="s">
        <v>78</v>
      </c>
      <c r="G49" s="31">
        <f>91826589/1000</f>
        <v>91826.589000000007</v>
      </c>
      <c r="H49" s="31">
        <v>333919</v>
      </c>
      <c r="J49" s="12" t="s">
        <v>80</v>
      </c>
      <c r="K49" s="114" t="s">
        <v>240</v>
      </c>
      <c r="L49" s="114"/>
      <c r="M49" s="36"/>
    </row>
    <row r="50" spans="1:13" ht="15" customHeight="1" thickBot="1" x14ac:dyDescent="0.3">
      <c r="A50" s="27"/>
      <c r="B50" s="28" t="s">
        <v>55</v>
      </c>
      <c r="C50" s="29">
        <f>C36+C38+C39+C40+C41+C42+C45+C47+C48+C49</f>
        <v>64026949.427999996</v>
      </c>
      <c r="D50" s="23">
        <f>D36+D38+D39+D40+D41+D42+D45+D47+D48+D49</f>
        <v>65743779.489000008</v>
      </c>
      <c r="F50" s="24"/>
      <c r="G50" s="16"/>
      <c r="H50" s="10"/>
      <c r="M50" s="78"/>
    </row>
    <row r="51" spans="1:13" ht="15.75" thickBot="1" x14ac:dyDescent="0.3">
      <c r="C51" s="46"/>
      <c r="D51" s="46"/>
      <c r="F51" s="22" t="s">
        <v>81</v>
      </c>
      <c r="G51" s="25">
        <f>G47-G48-G49</f>
        <v>657877.48500000057</v>
      </c>
      <c r="H51" s="35">
        <f>H47-H49-H48</f>
        <v>1183896</v>
      </c>
    </row>
    <row r="52" spans="1:13" ht="15.75" thickBot="1" x14ac:dyDescent="0.3">
      <c r="B52" s="37" t="s">
        <v>82</v>
      </c>
      <c r="C52" s="100" t="s">
        <v>83</v>
      </c>
      <c r="D52" s="101"/>
      <c r="F52" s="39"/>
      <c r="G52" s="19"/>
      <c r="H52" s="20"/>
    </row>
    <row r="53" spans="1:13" ht="15.75" thickBot="1" x14ac:dyDescent="0.3">
      <c r="B53" s="40"/>
      <c r="C53" s="41"/>
      <c r="D53" s="38" t="s">
        <v>84</v>
      </c>
    </row>
    <row r="54" spans="1:13" ht="15.75" thickBot="1" x14ac:dyDescent="0.3">
      <c r="B54" s="42" t="s">
        <v>85</v>
      </c>
      <c r="C54" s="63" t="s">
        <v>86</v>
      </c>
      <c r="D54" s="67">
        <v>26.25</v>
      </c>
      <c r="F54" s="43" t="s">
        <v>87</v>
      </c>
      <c r="G54" s="21"/>
      <c r="H54" s="11"/>
    </row>
    <row r="55" spans="1:13" x14ac:dyDescent="0.25">
      <c r="B55" s="44" t="s">
        <v>113</v>
      </c>
      <c r="C55" s="63" t="s">
        <v>88</v>
      </c>
      <c r="D55" s="67">
        <v>11.5</v>
      </c>
      <c r="F55" s="24"/>
      <c r="H55" s="10"/>
      <c r="K55" s="46"/>
    </row>
    <row r="56" spans="1:13" x14ac:dyDescent="0.25">
      <c r="B56" s="45" t="s">
        <v>114</v>
      </c>
      <c r="C56" s="63" t="s">
        <v>89</v>
      </c>
      <c r="D56" s="67">
        <v>13</v>
      </c>
      <c r="F56" s="24" t="s">
        <v>90</v>
      </c>
      <c r="G56" s="102"/>
      <c r="H56" s="103"/>
    </row>
    <row r="57" spans="1:13" ht="15.75" thickBot="1" x14ac:dyDescent="0.3">
      <c r="B57" s="47"/>
      <c r="C57" s="63" t="s">
        <v>91</v>
      </c>
      <c r="D57" s="67">
        <v>12</v>
      </c>
      <c r="F57" s="24" t="s">
        <v>92</v>
      </c>
      <c r="G57" s="102"/>
      <c r="H57" s="103"/>
      <c r="J57" s="46"/>
      <c r="K57" s="46"/>
    </row>
    <row r="58" spans="1:13" ht="15.75" thickBot="1" x14ac:dyDescent="0.3">
      <c r="B58" s="42" t="s">
        <v>93</v>
      </c>
      <c r="C58" s="63" t="s">
        <v>94</v>
      </c>
      <c r="D58" s="67">
        <v>6.25</v>
      </c>
      <c r="F58" s="24" t="s">
        <v>95</v>
      </c>
      <c r="G58" s="110"/>
      <c r="H58" s="111"/>
      <c r="L58" s="77"/>
    </row>
    <row r="59" spans="1:13" x14ac:dyDescent="0.25">
      <c r="B59" s="48" t="s">
        <v>117</v>
      </c>
      <c r="C59" s="63" t="s">
        <v>96</v>
      </c>
      <c r="D59" s="67">
        <v>9.1300000000000008</v>
      </c>
      <c r="F59" s="24" t="s">
        <v>97</v>
      </c>
      <c r="G59" s="102"/>
      <c r="H59" s="103"/>
      <c r="L59" s="77"/>
    </row>
    <row r="60" spans="1:13" x14ac:dyDescent="0.25">
      <c r="B60" s="50" t="s">
        <v>98</v>
      </c>
      <c r="C60" s="64" t="s">
        <v>99</v>
      </c>
      <c r="D60" s="67">
        <v>7.5</v>
      </c>
      <c r="F60" s="24"/>
      <c r="H60" s="10"/>
      <c r="L60" s="77"/>
    </row>
    <row r="61" spans="1:13" ht="15.75" thickBot="1" x14ac:dyDescent="0.3">
      <c r="B61" s="47"/>
      <c r="C61" s="63" t="s">
        <v>100</v>
      </c>
      <c r="D61" s="67">
        <v>4.25</v>
      </c>
      <c r="F61" s="24"/>
      <c r="H61" s="10"/>
    </row>
    <row r="62" spans="1:13" ht="15.75" thickBot="1" x14ac:dyDescent="0.3">
      <c r="B62" s="42" t="s">
        <v>101</v>
      </c>
      <c r="C62" s="64" t="s">
        <v>102</v>
      </c>
      <c r="D62" s="67">
        <v>4.88</v>
      </c>
      <c r="F62" s="24"/>
      <c r="H62" s="10"/>
      <c r="L62" s="77"/>
    </row>
    <row r="63" spans="1:13" x14ac:dyDescent="0.25">
      <c r="B63" s="49"/>
      <c r="C63" s="65" t="s">
        <v>103</v>
      </c>
      <c r="D63" s="67">
        <v>3.38</v>
      </c>
      <c r="F63" s="24"/>
      <c r="H63" s="10"/>
    </row>
    <row r="64" spans="1:13" x14ac:dyDescent="0.25">
      <c r="B64" s="50" t="s">
        <v>104</v>
      </c>
      <c r="C64" s="66" t="s">
        <v>105</v>
      </c>
      <c r="D64" s="67">
        <v>1.88</v>
      </c>
      <c r="F64" s="24"/>
      <c r="H64" s="10"/>
    </row>
    <row r="65" spans="2:8" ht="15.75" thickBot="1" x14ac:dyDescent="0.3">
      <c r="B65" s="50" t="s">
        <v>118</v>
      </c>
      <c r="C65" s="51"/>
      <c r="D65" s="52"/>
      <c r="F65" s="39"/>
      <c r="G65" s="33"/>
      <c r="H65" s="20"/>
    </row>
    <row r="66" spans="2:8" ht="15.75" thickBot="1" x14ac:dyDescent="0.3">
      <c r="B66" s="53"/>
      <c r="C66" s="54" t="s">
        <v>106</v>
      </c>
      <c r="D66" s="55">
        <f>SUM(D54:D64)</f>
        <v>100.01999999999998</v>
      </c>
    </row>
    <row r="73" spans="2:8" x14ac:dyDescent="0.25">
      <c r="F73" s="74"/>
    </row>
    <row r="74" spans="2:8" x14ac:dyDescent="0.25">
      <c r="F74" s="73"/>
    </row>
    <row r="86" spans="2:10" x14ac:dyDescent="0.25">
      <c r="B86">
        <v>39667508816</v>
      </c>
      <c r="D86">
        <v>12904384206</v>
      </c>
      <c r="G86" s="74"/>
    </row>
    <row r="87" spans="2:10" x14ac:dyDescent="0.25">
      <c r="B87">
        <v>12927423133</v>
      </c>
      <c r="D87">
        <v>2563034970.6500001</v>
      </c>
    </row>
    <row r="88" spans="2:10" x14ac:dyDescent="0.25">
      <c r="C88">
        <v>1614878709</v>
      </c>
    </row>
    <row r="91" spans="2:10" x14ac:dyDescent="0.25">
      <c r="B91">
        <f>B86-B87</f>
        <v>26740085683</v>
      </c>
      <c r="D91">
        <f>D86-D87</f>
        <v>10341349235.35</v>
      </c>
    </row>
    <row r="94" spans="2:10" x14ac:dyDescent="0.25">
      <c r="J94">
        <v>1209251319</v>
      </c>
    </row>
    <row r="95" spans="2:10" x14ac:dyDescent="0.25">
      <c r="C95" s="74">
        <f>B91+C88+D91</f>
        <v>38696313627.349998</v>
      </c>
      <c r="F95" s="74">
        <v>14886308647.870001</v>
      </c>
      <c r="H95" s="77">
        <v>1607464252</v>
      </c>
      <c r="J95">
        <v>22606059526.060001</v>
      </c>
    </row>
    <row r="96" spans="2:10" x14ac:dyDescent="0.25">
      <c r="H96" s="77">
        <v>22794262800.360001</v>
      </c>
      <c r="J96">
        <v>34301350000</v>
      </c>
    </row>
    <row r="97" spans="2:10" x14ac:dyDescent="0.25">
      <c r="H97" s="77">
        <v>33698350000</v>
      </c>
    </row>
    <row r="98" spans="2:10" x14ac:dyDescent="0.25">
      <c r="C98" s="46"/>
      <c r="F98" s="77">
        <v>15316505070.540001</v>
      </c>
      <c r="G98" s="74"/>
      <c r="J98" s="77">
        <f>SUM(J94:J96)</f>
        <v>58116660845.059998</v>
      </c>
    </row>
    <row r="99" spans="2:10" x14ac:dyDescent="0.25">
      <c r="C99" s="74">
        <v>39744865666.349998</v>
      </c>
      <c r="H99" s="77">
        <f>SUM(H95:H97)</f>
        <v>58100077052.360001</v>
      </c>
      <c r="I99" s="77">
        <f>SUM(I95:I97)</f>
        <v>0</v>
      </c>
    </row>
    <row r="102" spans="2:10" x14ac:dyDescent="0.25">
      <c r="J102" s="77">
        <f>J98-H99</f>
        <v>16583792.699996948</v>
      </c>
    </row>
    <row r="103" spans="2:10" x14ac:dyDescent="0.25">
      <c r="D103" t="s">
        <v>119</v>
      </c>
      <c r="F103" s="71">
        <f>F98-F95</f>
        <v>430196422.67000008</v>
      </c>
    </row>
    <row r="105" spans="2:10" x14ac:dyDescent="0.25">
      <c r="B105" t="s">
        <v>120</v>
      </c>
      <c r="C105" s="74">
        <f>C99-C95</f>
        <v>1048552039</v>
      </c>
    </row>
    <row r="115" spans="7:7" x14ac:dyDescent="0.25">
      <c r="G115">
        <v>173431267</v>
      </c>
    </row>
    <row r="116" spans="7:7" x14ac:dyDescent="0.25">
      <c r="G116">
        <v>6731222</v>
      </c>
    </row>
    <row r="118" spans="7:7" x14ac:dyDescent="0.25">
      <c r="G118">
        <f>SUM(G115:G116)</f>
        <v>180162489</v>
      </c>
    </row>
  </sheetData>
  <mergeCells count="28">
    <mergeCell ref="G58:H58"/>
    <mergeCell ref="G59:H59"/>
    <mergeCell ref="K10:L10"/>
    <mergeCell ref="J37:L37"/>
    <mergeCell ref="J38:L38"/>
    <mergeCell ref="J10:J11"/>
    <mergeCell ref="K48:L48"/>
    <mergeCell ref="K49:L49"/>
    <mergeCell ref="C52:D52"/>
    <mergeCell ref="G56:H56"/>
    <mergeCell ref="G57:H57"/>
    <mergeCell ref="A10:A11"/>
    <mergeCell ref="B10:B11"/>
    <mergeCell ref="C10:D10"/>
    <mergeCell ref="F10:F11"/>
    <mergeCell ref="G10:H10"/>
    <mergeCell ref="A7:D7"/>
    <mergeCell ref="F7:H7"/>
    <mergeCell ref="J7:L7"/>
    <mergeCell ref="A8:D8"/>
    <mergeCell ref="F8:H8"/>
    <mergeCell ref="J8:L8"/>
    <mergeCell ref="A1:L1"/>
    <mergeCell ref="A2:L2"/>
    <mergeCell ref="A3:L3"/>
    <mergeCell ref="A6:D6"/>
    <mergeCell ref="F6:H6"/>
    <mergeCell ref="J6:L6"/>
  </mergeCells>
  <pageMargins left="0.11811023622047245" right="0" top="0" bottom="0" header="0.31496062992125984" footer="0.31496062992125984"/>
  <pageSetup paperSize="9"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281CA3-7219-4446-9A7F-D1D50CD3B432}">
  <dimension ref="A1:K110"/>
  <sheetViews>
    <sheetView topLeftCell="A47" workbookViewId="0">
      <selection activeCell="F61" sqref="F61"/>
    </sheetView>
  </sheetViews>
  <sheetFormatPr defaultRowHeight="15" x14ac:dyDescent="0.25"/>
  <cols>
    <col min="1" max="1" width="2.28515625" customWidth="1"/>
    <col min="2" max="2" width="39.140625" bestFit="1" customWidth="1"/>
    <col min="3" max="3" width="16.5703125" style="79" bestFit="1" customWidth="1"/>
    <col min="4" max="4" width="4.7109375" customWidth="1"/>
    <col min="5" max="5" width="34.7109375" bestFit="1" customWidth="1"/>
    <col min="6" max="6" width="16" style="79" bestFit="1" customWidth="1"/>
    <col min="8" max="8" width="2.42578125" customWidth="1"/>
    <col min="9" max="9" width="26" bestFit="1" customWidth="1"/>
    <col min="10" max="10" width="17.7109375" style="79" bestFit="1" customWidth="1"/>
    <col min="11" max="11" width="12.5703125" bestFit="1" customWidth="1"/>
  </cols>
  <sheetData>
    <row r="1" spans="1:10" x14ac:dyDescent="0.25">
      <c r="B1" s="88" t="s">
        <v>12</v>
      </c>
      <c r="C1" s="93"/>
      <c r="E1" s="97" t="s">
        <v>239</v>
      </c>
      <c r="F1" s="97"/>
      <c r="G1" s="97"/>
      <c r="H1" s="97"/>
      <c r="I1" s="97"/>
      <c r="J1" s="97"/>
    </row>
    <row r="2" spans="1:10" x14ac:dyDescent="0.25">
      <c r="B2" t="s">
        <v>247</v>
      </c>
      <c r="C2" s="79">
        <v>95342500</v>
      </c>
    </row>
    <row r="3" spans="1:10" x14ac:dyDescent="0.25">
      <c r="A3" s="115" t="s">
        <v>119</v>
      </c>
      <c r="B3" s="116"/>
      <c r="C3" s="81" t="s">
        <v>141</v>
      </c>
      <c r="E3" s="80" t="s">
        <v>122</v>
      </c>
      <c r="F3" s="81" t="s">
        <v>141</v>
      </c>
      <c r="H3" s="80" t="s">
        <v>142</v>
      </c>
      <c r="I3" s="80"/>
      <c r="J3" s="81" t="s">
        <v>141</v>
      </c>
    </row>
    <row r="4" spans="1:10" x14ac:dyDescent="0.25">
      <c r="A4" s="82" t="s">
        <v>184</v>
      </c>
      <c r="B4" s="82"/>
      <c r="C4" s="83"/>
      <c r="E4" s="82" t="s">
        <v>123</v>
      </c>
      <c r="F4" s="83">
        <v>49002500</v>
      </c>
      <c r="H4" s="82" t="s">
        <v>143</v>
      </c>
      <c r="I4" s="82" t="s">
        <v>144</v>
      </c>
      <c r="J4" s="83">
        <v>18801564697</v>
      </c>
    </row>
    <row r="5" spans="1:10" x14ac:dyDescent="0.25">
      <c r="A5" s="82" t="s">
        <v>157</v>
      </c>
      <c r="B5" s="82" t="s">
        <v>185</v>
      </c>
      <c r="C5" s="83">
        <v>0</v>
      </c>
      <c r="E5" s="82" t="s">
        <v>124</v>
      </c>
      <c r="F5" s="83">
        <f>33259580+8858809</f>
        <v>42118389</v>
      </c>
      <c r="H5" s="82" t="s">
        <v>143</v>
      </c>
      <c r="I5" s="82" t="s">
        <v>145</v>
      </c>
      <c r="J5" s="83">
        <v>55356254</v>
      </c>
    </row>
    <row r="6" spans="1:10" x14ac:dyDescent="0.25">
      <c r="A6" s="82"/>
      <c r="B6" s="82" t="s">
        <v>186</v>
      </c>
      <c r="C6" s="83">
        <v>82734647</v>
      </c>
      <c r="E6" s="82" t="s">
        <v>125</v>
      </c>
      <c r="F6" s="83">
        <v>163162561</v>
      </c>
      <c r="H6" s="82" t="s">
        <v>143</v>
      </c>
      <c r="I6" s="82" t="s">
        <v>146</v>
      </c>
      <c r="J6" s="83">
        <v>15453231</v>
      </c>
    </row>
    <row r="7" spans="1:10" x14ac:dyDescent="0.25">
      <c r="A7" s="82"/>
      <c r="B7" s="82" t="s">
        <v>187</v>
      </c>
      <c r="C7" s="83">
        <v>6295147</v>
      </c>
      <c r="E7" s="82" t="s">
        <v>126</v>
      </c>
      <c r="F7" s="83">
        <v>8000000</v>
      </c>
      <c r="H7" s="82" t="s">
        <v>143</v>
      </c>
      <c r="I7" s="82" t="s">
        <v>254</v>
      </c>
      <c r="J7" s="83">
        <v>98716990</v>
      </c>
    </row>
    <row r="8" spans="1:10" x14ac:dyDescent="0.25">
      <c r="A8" s="82"/>
      <c r="B8" s="82" t="s">
        <v>188</v>
      </c>
      <c r="C8" s="83">
        <v>93015651</v>
      </c>
      <c r="E8" s="82" t="s">
        <v>127</v>
      </c>
      <c r="F8" s="83"/>
      <c r="H8" s="82"/>
      <c r="I8" s="82"/>
      <c r="J8" s="84">
        <f>SUM(J4:J7)</f>
        <v>18971091172</v>
      </c>
    </row>
    <row r="9" spans="1:10" x14ac:dyDescent="0.25">
      <c r="A9" s="82"/>
      <c r="B9" s="82" t="s">
        <v>189</v>
      </c>
      <c r="C9" s="83">
        <v>60204262</v>
      </c>
      <c r="E9" s="82" t="s">
        <v>244</v>
      </c>
      <c r="F9" s="83">
        <v>13158</v>
      </c>
    </row>
    <row r="10" spans="1:10" x14ac:dyDescent="0.25">
      <c r="A10" s="82"/>
      <c r="B10" s="82"/>
      <c r="C10" s="84">
        <f>SUM(C5:C9)</f>
        <v>242249707</v>
      </c>
      <c r="E10" s="82" t="s">
        <v>128</v>
      </c>
      <c r="F10" s="83">
        <v>10052925</v>
      </c>
      <c r="H10" s="80" t="s">
        <v>147</v>
      </c>
      <c r="I10" s="80"/>
      <c r="J10" s="81"/>
    </row>
    <row r="11" spans="1:10" x14ac:dyDescent="0.25">
      <c r="A11" s="82" t="s">
        <v>248</v>
      </c>
      <c r="B11" s="82"/>
      <c r="C11" s="83"/>
      <c r="E11" s="82" t="s">
        <v>129</v>
      </c>
      <c r="F11" s="83">
        <v>6641489</v>
      </c>
      <c r="H11" s="82" t="s">
        <v>143</v>
      </c>
      <c r="I11" s="82" t="s">
        <v>148</v>
      </c>
      <c r="J11" s="83">
        <v>1422275085</v>
      </c>
    </row>
    <row r="12" spans="1:10" x14ac:dyDescent="0.25">
      <c r="A12" s="82" t="s">
        <v>157</v>
      </c>
      <c r="B12" s="82" t="s">
        <v>190</v>
      </c>
      <c r="C12" s="83">
        <v>2535248901</v>
      </c>
      <c r="E12" s="82" t="s">
        <v>130</v>
      </c>
      <c r="F12" s="83">
        <v>0</v>
      </c>
      <c r="H12" s="82" t="s">
        <v>143</v>
      </c>
      <c r="I12" s="82" t="s">
        <v>149</v>
      </c>
      <c r="J12" s="83">
        <v>0</v>
      </c>
    </row>
    <row r="13" spans="1:10" x14ac:dyDescent="0.25">
      <c r="A13" s="82" t="s">
        <v>143</v>
      </c>
      <c r="B13" s="82" t="s">
        <v>191</v>
      </c>
      <c r="C13" s="83">
        <v>508924235</v>
      </c>
      <c r="E13" s="82" t="s">
        <v>131</v>
      </c>
      <c r="F13" s="83">
        <v>15340000</v>
      </c>
      <c r="H13" s="82"/>
      <c r="I13" s="82"/>
      <c r="J13" s="84">
        <f>SUM(J11:J12)</f>
        <v>1422275085</v>
      </c>
    </row>
    <row r="14" spans="1:10" x14ac:dyDescent="0.25">
      <c r="A14" s="82"/>
      <c r="B14" s="82" t="s">
        <v>241</v>
      </c>
      <c r="C14" s="83">
        <v>2649184110</v>
      </c>
      <c r="E14" s="82" t="s">
        <v>132</v>
      </c>
      <c r="F14" s="83">
        <v>0</v>
      </c>
    </row>
    <row r="15" spans="1:10" x14ac:dyDescent="0.25">
      <c r="A15" s="82"/>
      <c r="B15" s="82" t="s">
        <v>192</v>
      </c>
      <c r="C15" s="83">
        <v>2722000404</v>
      </c>
      <c r="E15" s="82" t="s">
        <v>133</v>
      </c>
      <c r="F15" s="83">
        <v>0</v>
      </c>
      <c r="H15" s="82" t="s">
        <v>150</v>
      </c>
      <c r="I15" s="82"/>
      <c r="J15" s="83"/>
    </row>
    <row r="16" spans="1:10" x14ac:dyDescent="0.25">
      <c r="A16" s="82"/>
      <c r="B16" s="82" t="s">
        <v>193</v>
      </c>
      <c r="C16" s="83">
        <v>0</v>
      </c>
      <c r="E16" s="82" t="s">
        <v>134</v>
      </c>
      <c r="F16" s="83">
        <v>0</v>
      </c>
      <c r="H16" s="82" t="s">
        <v>143</v>
      </c>
      <c r="I16" s="82" t="s">
        <v>151</v>
      </c>
      <c r="J16" s="83">
        <v>5204000000</v>
      </c>
    </row>
    <row r="17" spans="1:10" x14ac:dyDescent="0.25">
      <c r="A17" s="82"/>
      <c r="B17" s="82" t="s">
        <v>194</v>
      </c>
      <c r="C17" s="83">
        <v>3084609285</v>
      </c>
      <c r="E17" s="82" t="s">
        <v>135</v>
      </c>
      <c r="F17" s="83">
        <v>6542308</v>
      </c>
      <c r="H17" s="82" t="s">
        <v>143</v>
      </c>
      <c r="I17" s="82" t="s">
        <v>152</v>
      </c>
      <c r="J17" s="83">
        <v>4440900000</v>
      </c>
    </row>
    <row r="18" spans="1:10" x14ac:dyDescent="0.25">
      <c r="A18" s="82" t="s">
        <v>143</v>
      </c>
      <c r="B18" s="82" t="s">
        <v>195</v>
      </c>
      <c r="C18" s="83">
        <v>157369493</v>
      </c>
      <c r="E18" s="82" t="s">
        <v>136</v>
      </c>
      <c r="F18" s="83">
        <v>0</v>
      </c>
      <c r="H18" s="82" t="s">
        <v>143</v>
      </c>
      <c r="I18" s="82" t="s">
        <v>153</v>
      </c>
      <c r="J18" s="83">
        <v>22400100000</v>
      </c>
    </row>
    <row r="19" spans="1:10" x14ac:dyDescent="0.25">
      <c r="A19" s="82" t="s">
        <v>143</v>
      </c>
      <c r="B19" s="82" t="s">
        <v>196</v>
      </c>
      <c r="C19" s="83">
        <v>280172379</v>
      </c>
      <c r="E19" s="82" t="s">
        <v>137</v>
      </c>
      <c r="F19" s="83">
        <v>0</v>
      </c>
      <c r="H19" s="82"/>
      <c r="I19" s="82"/>
      <c r="J19" s="83"/>
    </row>
    <row r="20" spans="1:10" x14ac:dyDescent="0.25">
      <c r="A20" s="82"/>
      <c r="B20" s="82" t="s">
        <v>197</v>
      </c>
      <c r="C20" s="83">
        <v>149349822</v>
      </c>
      <c r="E20" s="82" t="s">
        <v>138</v>
      </c>
      <c r="F20" s="83">
        <v>25577625</v>
      </c>
      <c r="H20" s="82"/>
      <c r="I20" s="82"/>
      <c r="J20" s="84">
        <f>SUM(J16:J18)</f>
        <v>32045000000</v>
      </c>
    </row>
    <row r="21" spans="1:10" x14ac:dyDescent="0.25">
      <c r="A21" s="82"/>
      <c r="B21" s="82"/>
      <c r="C21" s="84">
        <f>SUM(C12:C20)</f>
        <v>12086858629</v>
      </c>
      <c r="E21" s="82" t="s">
        <v>139</v>
      </c>
      <c r="F21" s="83">
        <v>22530995</v>
      </c>
    </row>
    <row r="22" spans="1:10" x14ac:dyDescent="0.25">
      <c r="A22" s="82" t="s">
        <v>150</v>
      </c>
      <c r="B22" s="82"/>
      <c r="C22" s="83"/>
      <c r="E22" s="82" t="s">
        <v>140</v>
      </c>
      <c r="F22" s="83">
        <v>116289790</v>
      </c>
    </row>
    <row r="23" spans="1:10" x14ac:dyDescent="0.25">
      <c r="A23" s="82" t="s">
        <v>157</v>
      </c>
      <c r="B23" s="82" t="s">
        <v>198</v>
      </c>
      <c r="C23" s="83">
        <v>5000000000</v>
      </c>
      <c r="E23" s="82"/>
      <c r="F23" s="83"/>
    </row>
    <row r="24" spans="1:10" x14ac:dyDescent="0.25">
      <c r="A24" s="82" t="s">
        <v>143</v>
      </c>
      <c r="B24" s="82" t="s">
        <v>199</v>
      </c>
      <c r="C24" s="83">
        <v>800000000</v>
      </c>
      <c r="E24" s="82"/>
      <c r="F24" s="84">
        <f>SUM(F4:F22)</f>
        <v>465271740</v>
      </c>
      <c r="H24" s="80"/>
      <c r="I24" s="80" t="s">
        <v>154</v>
      </c>
      <c r="J24" s="81" t="s">
        <v>141</v>
      </c>
    </row>
    <row r="25" spans="1:10" x14ac:dyDescent="0.25">
      <c r="A25" s="82" t="s">
        <v>143</v>
      </c>
      <c r="B25" s="82" t="s">
        <v>200</v>
      </c>
      <c r="C25" s="83">
        <v>1000000000</v>
      </c>
      <c r="H25" s="82" t="s">
        <v>143</v>
      </c>
      <c r="I25" s="82" t="s">
        <v>142</v>
      </c>
      <c r="J25" s="83">
        <v>0</v>
      </c>
    </row>
    <row r="26" spans="1:10" x14ac:dyDescent="0.25">
      <c r="A26" s="82" t="s">
        <v>143</v>
      </c>
      <c r="B26" s="82" t="s">
        <v>201</v>
      </c>
      <c r="C26" s="83">
        <v>0</v>
      </c>
      <c r="H26" s="82" t="s">
        <v>143</v>
      </c>
      <c r="I26" s="83" t="s">
        <v>144</v>
      </c>
      <c r="J26" s="83">
        <v>99807563</v>
      </c>
    </row>
    <row r="27" spans="1:10" x14ac:dyDescent="0.25">
      <c r="A27" s="82" t="s">
        <v>143</v>
      </c>
      <c r="B27" s="82" t="s">
        <v>249</v>
      </c>
      <c r="C27" s="83">
        <v>2000000000</v>
      </c>
      <c r="E27" s="86" t="s">
        <v>156</v>
      </c>
      <c r="F27" s="87" t="s">
        <v>141</v>
      </c>
      <c r="H27" s="82"/>
      <c r="I27" s="83" t="s">
        <v>145</v>
      </c>
      <c r="J27" s="83">
        <v>0</v>
      </c>
    </row>
    <row r="28" spans="1:10" x14ac:dyDescent="0.25">
      <c r="A28" s="82" t="s">
        <v>143</v>
      </c>
      <c r="B28" s="82" t="s">
        <v>202</v>
      </c>
      <c r="C28" s="83">
        <v>1500000000</v>
      </c>
      <c r="E28" s="83" t="s">
        <v>158</v>
      </c>
      <c r="F28" s="83">
        <v>0</v>
      </c>
      <c r="H28" s="82"/>
      <c r="I28" s="83" t="s">
        <v>146</v>
      </c>
      <c r="J28" s="83">
        <v>0</v>
      </c>
    </row>
    <row r="29" spans="1:10" x14ac:dyDescent="0.25">
      <c r="A29" s="82"/>
      <c r="B29" s="82"/>
      <c r="C29" s="84">
        <f>SUM(C23:C28)</f>
        <v>10300000000</v>
      </c>
      <c r="E29" s="83" t="s">
        <v>159</v>
      </c>
      <c r="F29" s="83">
        <v>0</v>
      </c>
      <c r="H29" s="82"/>
      <c r="I29" s="82"/>
      <c r="J29" s="84">
        <f>SUM(J25:J28)</f>
        <v>99807563</v>
      </c>
    </row>
    <row r="30" spans="1:10" x14ac:dyDescent="0.25">
      <c r="A30" s="82"/>
      <c r="B30" s="82"/>
      <c r="C30" s="83"/>
      <c r="E30" s="83" t="s">
        <v>160</v>
      </c>
      <c r="F30" s="83">
        <v>0</v>
      </c>
      <c r="H30" s="82"/>
      <c r="I30" s="82" t="s">
        <v>150</v>
      </c>
      <c r="J30" s="83">
        <v>0</v>
      </c>
    </row>
    <row r="31" spans="1:10" x14ac:dyDescent="0.25">
      <c r="A31" s="82"/>
      <c r="B31" s="85" t="s">
        <v>203</v>
      </c>
      <c r="C31" s="84">
        <f>C29+C21+C10</f>
        <v>22629108336</v>
      </c>
      <c r="E31" s="83" t="s">
        <v>161</v>
      </c>
      <c r="F31" s="83">
        <v>0</v>
      </c>
      <c r="H31" s="82"/>
      <c r="I31" s="83" t="s">
        <v>151</v>
      </c>
      <c r="J31" s="83"/>
    </row>
    <row r="32" spans="1:10" x14ac:dyDescent="0.25">
      <c r="E32" s="83" t="s">
        <v>162</v>
      </c>
      <c r="F32" s="83">
        <v>35940163</v>
      </c>
      <c r="H32" s="82"/>
      <c r="I32" s="83" t="s">
        <v>152</v>
      </c>
      <c r="J32" s="83">
        <v>0</v>
      </c>
    </row>
    <row r="33" spans="1:10" x14ac:dyDescent="0.25">
      <c r="E33" s="83" t="s">
        <v>163</v>
      </c>
      <c r="F33" s="83">
        <v>0</v>
      </c>
      <c r="H33" s="82"/>
      <c r="I33" s="83" t="s">
        <v>153</v>
      </c>
      <c r="J33" s="83">
        <v>0</v>
      </c>
    </row>
    <row r="34" spans="1:10" x14ac:dyDescent="0.25">
      <c r="A34" s="117" t="s">
        <v>22</v>
      </c>
      <c r="B34" s="118"/>
      <c r="C34" s="87" t="s">
        <v>207</v>
      </c>
      <c r="E34" s="83" t="s">
        <v>164</v>
      </c>
      <c r="F34" s="83">
        <v>20000</v>
      </c>
      <c r="H34" s="82"/>
      <c r="I34" s="82"/>
      <c r="J34" s="84">
        <f>SUM(J31:J33)</f>
        <v>0</v>
      </c>
    </row>
    <row r="35" spans="1:10" x14ac:dyDescent="0.25">
      <c r="A35" s="82" t="s">
        <v>157</v>
      </c>
      <c r="B35" s="82" t="s">
        <v>22</v>
      </c>
      <c r="C35" s="83">
        <v>27415669086</v>
      </c>
      <c r="E35" s="83" t="s">
        <v>165</v>
      </c>
      <c r="F35" s="83">
        <v>12088889</v>
      </c>
      <c r="H35" s="82"/>
      <c r="I35" s="82"/>
      <c r="J35" s="83"/>
    </row>
    <row r="36" spans="1:10" x14ac:dyDescent="0.25">
      <c r="A36" s="82" t="s">
        <v>143</v>
      </c>
      <c r="B36" s="82" t="s">
        <v>204</v>
      </c>
      <c r="C36" s="83">
        <v>0</v>
      </c>
      <c r="E36" s="83" t="s">
        <v>166</v>
      </c>
      <c r="F36" s="83">
        <v>120000</v>
      </c>
      <c r="H36" s="82"/>
      <c r="I36" s="83" t="s">
        <v>155</v>
      </c>
      <c r="J36" s="84">
        <f>J34+J29</f>
        <v>99807563</v>
      </c>
    </row>
    <row r="37" spans="1:10" x14ac:dyDescent="0.25">
      <c r="A37" s="82" t="s">
        <v>157</v>
      </c>
      <c r="B37" s="82" t="s">
        <v>205</v>
      </c>
      <c r="C37" s="83">
        <v>-9721797519</v>
      </c>
      <c r="E37" s="83" t="s">
        <v>167</v>
      </c>
      <c r="F37" s="83">
        <v>37515833</v>
      </c>
    </row>
    <row r="38" spans="1:10" x14ac:dyDescent="0.25">
      <c r="A38" s="82"/>
      <c r="B38" s="82"/>
      <c r="C38" s="83"/>
      <c r="E38" s="83" t="s">
        <v>168</v>
      </c>
      <c r="F38" s="83">
        <v>244406749</v>
      </c>
    </row>
    <row r="39" spans="1:10" x14ac:dyDescent="0.25">
      <c r="A39" s="82"/>
      <c r="B39" s="82" t="s">
        <v>206</v>
      </c>
      <c r="C39" s="84">
        <f>SUM(C35:C37)</f>
        <v>17693871567</v>
      </c>
      <c r="E39" s="83" t="s">
        <v>169</v>
      </c>
      <c r="F39" s="83">
        <v>50472380</v>
      </c>
    </row>
    <row r="40" spans="1:10" x14ac:dyDescent="0.25">
      <c r="E40" s="83" t="s">
        <v>170</v>
      </c>
      <c r="F40" s="83">
        <v>54678411</v>
      </c>
    </row>
    <row r="41" spans="1:10" x14ac:dyDescent="0.25">
      <c r="E41" s="83" t="s">
        <v>171</v>
      </c>
      <c r="F41" s="83">
        <v>0</v>
      </c>
    </row>
    <row r="42" spans="1:10" x14ac:dyDescent="0.25">
      <c r="A42" s="85" t="s">
        <v>33</v>
      </c>
      <c r="B42" s="86"/>
      <c r="C42" s="87" t="s">
        <v>207</v>
      </c>
      <c r="E42" s="83" t="s">
        <v>172</v>
      </c>
      <c r="F42" s="83">
        <v>30628597</v>
      </c>
    </row>
    <row r="43" spans="1:10" x14ac:dyDescent="0.25">
      <c r="A43" s="82" t="s">
        <v>143</v>
      </c>
      <c r="B43" s="82" t="s">
        <v>208</v>
      </c>
      <c r="C43" s="84">
        <v>9915139266</v>
      </c>
      <c r="E43" s="83" t="s">
        <v>173</v>
      </c>
      <c r="F43" s="83">
        <v>187929653</v>
      </c>
    </row>
    <row r="44" spans="1:10" x14ac:dyDescent="0.25">
      <c r="E44" s="83" t="s">
        <v>174</v>
      </c>
      <c r="F44" s="83">
        <v>0</v>
      </c>
    </row>
    <row r="45" spans="1:10" x14ac:dyDescent="0.25">
      <c r="E45" s="83" t="s">
        <v>175</v>
      </c>
      <c r="F45" s="83">
        <v>0</v>
      </c>
    </row>
    <row r="46" spans="1:10" x14ac:dyDescent="0.25">
      <c r="A46" s="82" t="s">
        <v>35</v>
      </c>
      <c r="B46" s="86"/>
      <c r="C46" s="87" t="s">
        <v>207</v>
      </c>
      <c r="E46" s="82"/>
      <c r="F46" s="84">
        <f>SUM(F28:F45)</f>
        <v>653800675</v>
      </c>
    </row>
    <row r="47" spans="1:10" x14ac:dyDescent="0.25">
      <c r="A47" s="82" t="s">
        <v>143</v>
      </c>
      <c r="B47" s="82" t="s">
        <v>209</v>
      </c>
      <c r="C47" s="83">
        <v>12392545004</v>
      </c>
      <c r="E47" s="82"/>
      <c r="F47" s="83"/>
    </row>
    <row r="48" spans="1:10" x14ac:dyDescent="0.25">
      <c r="A48" s="82"/>
      <c r="B48" s="82"/>
      <c r="C48" s="83"/>
      <c r="E48" s="82" t="s">
        <v>176</v>
      </c>
      <c r="F48" s="83"/>
    </row>
    <row r="49" spans="1:11" x14ac:dyDescent="0.25">
      <c r="A49" s="82" t="s">
        <v>143</v>
      </c>
      <c r="B49" s="82" t="s">
        <v>210</v>
      </c>
      <c r="C49" s="83">
        <v>-3797500768</v>
      </c>
      <c r="E49" s="83" t="s">
        <v>174</v>
      </c>
      <c r="F49" s="83">
        <v>0</v>
      </c>
    </row>
    <row r="50" spans="1:11" x14ac:dyDescent="0.25">
      <c r="A50" s="82" t="s">
        <v>143</v>
      </c>
      <c r="B50" s="82" t="s">
        <v>211</v>
      </c>
      <c r="C50" s="83">
        <f>22222224+798810117</f>
        <v>821032341</v>
      </c>
      <c r="E50" s="83"/>
      <c r="F50" s="83">
        <v>0</v>
      </c>
    </row>
    <row r="51" spans="1:11" x14ac:dyDescent="0.25">
      <c r="A51" s="82"/>
      <c r="B51" s="82"/>
      <c r="C51" s="83"/>
      <c r="E51" s="83" t="s">
        <v>175</v>
      </c>
      <c r="F51" s="83">
        <v>0</v>
      </c>
    </row>
    <row r="52" spans="1:11" x14ac:dyDescent="0.25">
      <c r="A52" s="82"/>
      <c r="B52" s="82" t="s">
        <v>206</v>
      </c>
      <c r="C52" s="84">
        <f>SUM(C47:C50)</f>
        <v>9416076577</v>
      </c>
      <c r="E52" s="82"/>
      <c r="F52" s="84">
        <f>SUM(F49:F51)</f>
        <v>0</v>
      </c>
    </row>
    <row r="53" spans="1:11" x14ac:dyDescent="0.25">
      <c r="E53" s="82"/>
      <c r="F53" s="83"/>
    </row>
    <row r="54" spans="1:11" x14ac:dyDescent="0.25">
      <c r="E54" s="82" t="s">
        <v>177</v>
      </c>
      <c r="F54" s="83"/>
    </row>
    <row r="55" spans="1:11" x14ac:dyDescent="0.25">
      <c r="A55" s="117" t="s">
        <v>212</v>
      </c>
      <c r="B55" s="118"/>
      <c r="C55" s="87" t="s">
        <v>141</v>
      </c>
      <c r="E55" s="83" t="s">
        <v>138</v>
      </c>
      <c r="F55" s="83">
        <v>0</v>
      </c>
    </row>
    <row r="56" spans="1:11" x14ac:dyDescent="0.25">
      <c r="A56" s="82" t="s">
        <v>143</v>
      </c>
      <c r="B56" s="82" t="s">
        <v>213</v>
      </c>
      <c r="C56" s="83">
        <v>-51238615</v>
      </c>
      <c r="E56" s="83" t="s">
        <v>139</v>
      </c>
      <c r="F56" s="83">
        <v>0</v>
      </c>
    </row>
    <row r="57" spans="1:11" x14ac:dyDescent="0.25">
      <c r="A57" s="82"/>
      <c r="B57" s="82" t="s">
        <v>214</v>
      </c>
      <c r="C57" s="83">
        <f>-57627457-719464413</f>
        <v>-777091870</v>
      </c>
      <c r="E57" s="83" t="s">
        <v>140</v>
      </c>
      <c r="F57" s="83">
        <v>0</v>
      </c>
    </row>
    <row r="58" spans="1:11" x14ac:dyDescent="0.25">
      <c r="A58" s="82"/>
      <c r="B58" s="82" t="s">
        <v>215</v>
      </c>
      <c r="C58" s="83">
        <v>-38679804</v>
      </c>
      <c r="E58" s="83" t="s">
        <v>178</v>
      </c>
      <c r="F58" s="83">
        <v>0</v>
      </c>
    </row>
    <row r="59" spans="1:11" x14ac:dyDescent="0.25">
      <c r="A59" s="82"/>
      <c r="B59" s="82" t="s">
        <v>35</v>
      </c>
      <c r="C59" s="83">
        <v>0</v>
      </c>
      <c r="E59" s="82"/>
      <c r="F59" s="84">
        <f>SUM(F55:F58)</f>
        <v>0</v>
      </c>
      <c r="K59" s="46"/>
    </row>
    <row r="60" spans="1:11" x14ac:dyDescent="0.25">
      <c r="A60" s="82"/>
      <c r="B60" s="82" t="s">
        <v>206</v>
      </c>
      <c r="C60" s="83">
        <f>SUM(C56:C59)</f>
        <v>-867010289</v>
      </c>
      <c r="E60" s="82"/>
      <c r="F60" s="83"/>
    </row>
    <row r="61" spans="1:11" x14ac:dyDescent="0.25">
      <c r="E61" s="83" t="s">
        <v>179</v>
      </c>
      <c r="F61" s="83"/>
    </row>
    <row r="62" spans="1:11" x14ac:dyDescent="0.25">
      <c r="E62" s="83" t="s">
        <v>180</v>
      </c>
      <c r="F62" s="83">
        <v>0</v>
      </c>
    </row>
    <row r="63" spans="1:11" x14ac:dyDescent="0.25">
      <c r="A63" s="117" t="s">
        <v>216</v>
      </c>
      <c r="B63" s="118"/>
      <c r="C63" s="81"/>
      <c r="E63" s="83" t="s">
        <v>181</v>
      </c>
      <c r="F63" s="83">
        <v>0</v>
      </c>
    </row>
    <row r="64" spans="1:11" x14ac:dyDescent="0.25">
      <c r="A64" s="82" t="s">
        <v>217</v>
      </c>
      <c r="B64" s="82"/>
      <c r="C64" s="83"/>
      <c r="E64" s="83" t="s">
        <v>182</v>
      </c>
      <c r="F64" s="83">
        <v>0</v>
      </c>
    </row>
    <row r="65" spans="1:10" x14ac:dyDescent="0.25">
      <c r="A65" s="82" t="s">
        <v>143</v>
      </c>
      <c r="B65" s="82" t="s">
        <v>218</v>
      </c>
      <c r="C65" s="83">
        <v>1400000000</v>
      </c>
      <c r="E65" s="83" t="s">
        <v>127</v>
      </c>
      <c r="F65" s="84">
        <v>91826589</v>
      </c>
    </row>
    <row r="66" spans="1:10" x14ac:dyDescent="0.25">
      <c r="A66" s="82" t="s">
        <v>143</v>
      </c>
      <c r="B66" s="82" t="s">
        <v>219</v>
      </c>
      <c r="C66" s="83">
        <v>3413860788</v>
      </c>
      <c r="E66" s="82"/>
      <c r="F66" s="83"/>
    </row>
    <row r="67" spans="1:10" x14ac:dyDescent="0.25">
      <c r="A67" s="82" t="s">
        <v>143</v>
      </c>
      <c r="B67" s="82" t="s">
        <v>220</v>
      </c>
      <c r="C67" s="83">
        <v>744250000</v>
      </c>
      <c r="E67" s="85" t="s">
        <v>183</v>
      </c>
      <c r="F67" s="84">
        <f>F46+F52+F59+F65</f>
        <v>745627264</v>
      </c>
    </row>
    <row r="68" spans="1:10" x14ac:dyDescent="0.25">
      <c r="A68" s="82" t="s">
        <v>143</v>
      </c>
      <c r="B68" s="82" t="s">
        <v>221</v>
      </c>
      <c r="C68" s="83">
        <v>508692286</v>
      </c>
    </row>
    <row r="69" spans="1:10" x14ac:dyDescent="0.25">
      <c r="A69" s="82" t="s">
        <v>143</v>
      </c>
      <c r="B69" s="82" t="s">
        <v>222</v>
      </c>
      <c r="C69" s="83">
        <v>135034800</v>
      </c>
    </row>
    <row r="70" spans="1:10" x14ac:dyDescent="0.25">
      <c r="A70" s="82" t="s">
        <v>143</v>
      </c>
      <c r="B70" s="82" t="s">
        <v>223</v>
      </c>
      <c r="C70" s="83">
        <v>240971813</v>
      </c>
    </row>
    <row r="71" spans="1:10" x14ac:dyDescent="0.25">
      <c r="A71" s="82" t="s">
        <v>143</v>
      </c>
      <c r="B71" s="82" t="s">
        <v>224</v>
      </c>
      <c r="C71" s="83">
        <v>0</v>
      </c>
      <c r="J71" s="79">
        <f>1400000000+3413860788+1628948899</f>
        <v>6442809687</v>
      </c>
    </row>
    <row r="72" spans="1:10" x14ac:dyDescent="0.25">
      <c r="A72" s="82"/>
      <c r="B72" s="82"/>
      <c r="C72" s="84">
        <f>SUM(C65:C71)</f>
        <v>6442809687</v>
      </c>
    </row>
    <row r="74" spans="1:10" x14ac:dyDescent="0.25">
      <c r="A74" s="115" t="s">
        <v>225</v>
      </c>
      <c r="B74" s="116"/>
      <c r="C74" s="81"/>
      <c r="E74" t="s">
        <v>255</v>
      </c>
      <c r="F74" s="79">
        <v>657876604</v>
      </c>
    </row>
    <row r="75" spans="1:10" x14ac:dyDescent="0.25">
      <c r="A75" s="82" t="s">
        <v>143</v>
      </c>
      <c r="B75" s="82" t="s">
        <v>219</v>
      </c>
      <c r="C75" s="83">
        <v>-1041743213</v>
      </c>
    </row>
    <row r="76" spans="1:10" x14ac:dyDescent="0.25">
      <c r="A76" s="82"/>
      <c r="B76" s="82"/>
      <c r="C76" s="83"/>
    </row>
    <row r="77" spans="1:10" x14ac:dyDescent="0.25">
      <c r="A77" s="82" t="s">
        <v>143</v>
      </c>
      <c r="B77" s="82" t="s">
        <v>220</v>
      </c>
      <c r="C77" s="83">
        <v>-268099474</v>
      </c>
    </row>
    <row r="78" spans="1:10" x14ac:dyDescent="0.25">
      <c r="A78" s="82" t="s">
        <v>143</v>
      </c>
      <c r="B78" s="82" t="s">
        <v>221</v>
      </c>
      <c r="C78" s="83">
        <v>-355245995</v>
      </c>
    </row>
    <row r="79" spans="1:10" x14ac:dyDescent="0.25">
      <c r="A79" s="82"/>
      <c r="B79" s="82"/>
      <c r="C79" s="83"/>
    </row>
    <row r="80" spans="1:10" x14ac:dyDescent="0.25">
      <c r="A80" s="82" t="s">
        <v>143</v>
      </c>
      <c r="B80" s="82" t="s">
        <v>222</v>
      </c>
      <c r="C80" s="83">
        <v>-78452703</v>
      </c>
    </row>
    <row r="81" spans="1:5" x14ac:dyDescent="0.25">
      <c r="A81" s="82" t="s">
        <v>143</v>
      </c>
      <c r="B81" s="82" t="s">
        <v>223</v>
      </c>
      <c r="C81" s="83">
        <v>-210758001</v>
      </c>
    </row>
    <row r="82" spans="1:5" x14ac:dyDescent="0.25">
      <c r="A82" s="82"/>
      <c r="B82" s="82"/>
      <c r="C82" s="83"/>
    </row>
    <row r="83" spans="1:5" x14ac:dyDescent="0.25">
      <c r="A83" s="82"/>
      <c r="B83" s="82"/>
      <c r="C83" s="84">
        <f>SUM(C75:C81)</f>
        <v>-1954299386</v>
      </c>
      <c r="E83" s="74"/>
    </row>
    <row r="86" spans="1:5" x14ac:dyDescent="0.25">
      <c r="A86" s="115" t="s">
        <v>229</v>
      </c>
      <c r="B86" s="116"/>
      <c r="C86" s="81"/>
    </row>
    <row r="87" spans="1:5" x14ac:dyDescent="0.25">
      <c r="A87" s="82" t="s">
        <v>226</v>
      </c>
      <c r="B87" s="82"/>
      <c r="C87" s="83"/>
    </row>
    <row r="88" spans="1:5" x14ac:dyDescent="0.25">
      <c r="A88" s="82" t="s">
        <v>217</v>
      </c>
      <c r="B88" s="82"/>
      <c r="C88" s="83"/>
    </row>
    <row r="89" spans="1:5" x14ac:dyDescent="0.25">
      <c r="A89" s="82"/>
      <c r="B89" s="83" t="s">
        <v>227</v>
      </c>
      <c r="C89" s="83">
        <v>186966000</v>
      </c>
    </row>
    <row r="90" spans="1:5" x14ac:dyDescent="0.25">
      <c r="A90" s="82"/>
      <c r="B90" s="83" t="s">
        <v>228</v>
      </c>
      <c r="C90" s="83">
        <v>-175866000</v>
      </c>
    </row>
    <row r="91" spans="1:5" x14ac:dyDescent="0.25">
      <c r="A91" s="82"/>
      <c r="B91" s="82"/>
      <c r="C91" s="84">
        <f>SUM(C89:C90)</f>
        <v>11100000</v>
      </c>
    </row>
    <row r="92" spans="1:5" x14ac:dyDescent="0.25">
      <c r="A92" s="82"/>
      <c r="B92" s="82"/>
      <c r="C92" s="83"/>
    </row>
    <row r="93" spans="1:5" x14ac:dyDescent="0.25">
      <c r="A93" s="82" t="s">
        <v>230</v>
      </c>
      <c r="B93" s="82"/>
      <c r="C93" s="83"/>
    </row>
    <row r="94" spans="1:5" x14ac:dyDescent="0.25">
      <c r="A94" s="82" t="s">
        <v>143</v>
      </c>
      <c r="B94" s="82" t="s">
        <v>250</v>
      </c>
      <c r="C94" s="83">
        <f>147379731-50000000</f>
        <v>97379731</v>
      </c>
    </row>
    <row r="95" spans="1:5" x14ac:dyDescent="0.25">
      <c r="A95" s="82" t="s">
        <v>143</v>
      </c>
      <c r="B95" s="82" t="s">
        <v>251</v>
      </c>
      <c r="C95" s="83">
        <v>29193275</v>
      </c>
    </row>
    <row r="96" spans="1:5" x14ac:dyDescent="0.25">
      <c r="A96" s="82" t="s">
        <v>143</v>
      </c>
      <c r="B96" s="82" t="s">
        <v>252</v>
      </c>
      <c r="C96" s="83">
        <v>399340587</v>
      </c>
    </row>
    <row r="97" spans="1:5" x14ac:dyDescent="0.25">
      <c r="A97" s="82" t="s">
        <v>143</v>
      </c>
      <c r="B97" s="82" t="s">
        <v>231</v>
      </c>
      <c r="C97" s="83">
        <v>0</v>
      </c>
    </row>
    <row r="98" spans="1:5" x14ac:dyDescent="0.25">
      <c r="A98" s="82" t="s">
        <v>143</v>
      </c>
      <c r="B98" s="82" t="s">
        <v>253</v>
      </c>
      <c r="C98" s="83">
        <v>68627578</v>
      </c>
    </row>
    <row r="99" spans="1:5" x14ac:dyDescent="0.25">
      <c r="A99" s="82" t="s">
        <v>143</v>
      </c>
      <c r="B99" s="82" t="s">
        <v>232</v>
      </c>
      <c r="C99" s="83">
        <v>270000</v>
      </c>
    </row>
    <row r="100" spans="1:5" x14ac:dyDescent="0.25">
      <c r="A100" s="82" t="s">
        <v>143</v>
      </c>
      <c r="B100" s="82" t="s">
        <v>233</v>
      </c>
      <c r="C100" s="83">
        <v>0</v>
      </c>
    </row>
    <row r="101" spans="1:5" x14ac:dyDescent="0.25">
      <c r="A101" s="82"/>
      <c r="B101" s="82" t="s">
        <v>206</v>
      </c>
      <c r="C101" s="84">
        <f>SUM(C94:C100)</f>
        <v>594811171</v>
      </c>
    </row>
    <row r="102" spans="1:5" x14ac:dyDescent="0.25">
      <c r="A102" s="82"/>
      <c r="B102" s="82"/>
      <c r="C102" s="83"/>
    </row>
    <row r="103" spans="1:5" x14ac:dyDescent="0.25">
      <c r="A103" s="89" t="s">
        <v>143</v>
      </c>
      <c r="B103" s="90" t="s">
        <v>234</v>
      </c>
      <c r="C103" s="91">
        <v>0</v>
      </c>
    </row>
    <row r="104" spans="1:5" x14ac:dyDescent="0.25">
      <c r="A104" s="89" t="s">
        <v>143</v>
      </c>
      <c r="B104" s="90" t="s">
        <v>235</v>
      </c>
      <c r="C104" s="91">
        <v>0</v>
      </c>
    </row>
    <row r="105" spans="1:5" x14ac:dyDescent="0.25">
      <c r="A105" s="89" t="s">
        <v>143</v>
      </c>
      <c r="B105" s="90" t="s">
        <v>236</v>
      </c>
      <c r="C105" s="91">
        <v>0</v>
      </c>
    </row>
    <row r="106" spans="1:5" x14ac:dyDescent="0.25">
      <c r="A106" s="89" t="s">
        <v>143</v>
      </c>
      <c r="B106" s="90" t="s">
        <v>237</v>
      </c>
      <c r="C106" s="91">
        <v>50000000</v>
      </c>
    </row>
    <row r="107" spans="1:5" x14ac:dyDescent="0.25">
      <c r="A107" s="82"/>
      <c r="B107" s="90" t="s">
        <v>206</v>
      </c>
      <c r="C107" s="84">
        <f>SUM(C103:C106)</f>
        <v>50000000</v>
      </c>
    </row>
    <row r="108" spans="1:5" x14ac:dyDescent="0.25">
      <c r="A108" s="82"/>
      <c r="B108" s="82"/>
      <c r="C108" s="83"/>
      <c r="E108">
        <v>64026949</v>
      </c>
    </row>
    <row r="109" spans="1:5" x14ac:dyDescent="0.25">
      <c r="A109" s="82"/>
      <c r="B109" s="92" t="s">
        <v>238</v>
      </c>
      <c r="C109" s="84">
        <f>C91+C101+C107</f>
        <v>655911171</v>
      </c>
      <c r="E109">
        <v>64016949</v>
      </c>
    </row>
    <row r="110" spans="1:5" x14ac:dyDescent="0.25">
      <c r="E110">
        <f>E108-E109</f>
        <v>10000</v>
      </c>
    </row>
  </sheetData>
  <mergeCells count="7">
    <mergeCell ref="A86:B86"/>
    <mergeCell ref="E1:J1"/>
    <mergeCell ref="A3:B3"/>
    <mergeCell ref="A34:B34"/>
    <mergeCell ref="A55:B55"/>
    <mergeCell ref="A63:B63"/>
    <mergeCell ref="A74:B7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D1C1F-5723-44AE-8C33-050891B62A3F}">
  <dimension ref="B1"/>
  <sheetViews>
    <sheetView workbookViewId="0">
      <selection activeCell="B2" sqref="B2"/>
    </sheetView>
  </sheetViews>
  <sheetFormatPr defaultRowHeight="15" x14ac:dyDescent="0.25"/>
  <cols>
    <col min="2" max="2" width="16.28515625" style="79" bestFit="1" customWidth="1"/>
  </cols>
  <sheetData>
    <row r="1" spans="2:2" x14ac:dyDescent="0.25">
      <c r="B1" s="79">
        <f>242249707+12086858629+10300000000</f>
        <v>22629108336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PUBLIKASI SEPT 2025</vt:lpstr>
      <vt:lpstr>neraca</vt:lpstr>
      <vt:lpstr>Sheet1</vt:lpstr>
      <vt:lpstr>'PUBLIKASI SEPT 2025'!Print_Area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friadi munandar</cp:lastModifiedBy>
  <cp:lastPrinted>2025-02-06T07:59:41Z</cp:lastPrinted>
  <dcterms:created xsi:type="dcterms:W3CDTF">2023-02-20T00:17:49Z</dcterms:created>
  <dcterms:modified xsi:type="dcterms:W3CDTF">2025-10-15T02:13:14Z</dcterms:modified>
</cp:coreProperties>
</file>